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anon.net\folder\拡張フォルダ\経理本部2\060IR推進室\15.イベント\2024年\1Q決算\ウェブ開示\開示資料準備\ヒストリカル\3月修正 プリンティングセグメント組替\"/>
    </mc:Choice>
  </mc:AlternateContent>
  <xr:revisionPtr revIDLastSave="0" documentId="13_ncr:1_{0412AC58-EFEC-4BD1-AAA5-DBA1FCEB6D32}" xr6:coauthVersionLast="47" xr6:coauthVersionMax="47" xr10:uidLastSave="{00000000-0000-0000-0000-000000000000}"/>
  <bookViews>
    <workbookView xWindow="-120" yWindow="-120" windowWidth="20730" windowHeight="11160" tabRatio="788" xr2:uid="{00000000-000D-0000-FFFF-FFFF00000000}"/>
  </bookViews>
  <sheets>
    <sheet name="0" sheetId="1" r:id="rId1"/>
    <sheet name="1 " sheetId="18" r:id="rId2"/>
    <sheet name="2" sheetId="19" r:id="rId3"/>
    <sheet name="3 " sheetId="20" r:id="rId4"/>
    <sheet name="4" sheetId="5" r:id="rId5"/>
    <sheet name="5" sheetId="11" r:id="rId6"/>
    <sheet name="6" sheetId="10" r:id="rId7"/>
    <sheet name="7" sheetId="21" r:id="rId8"/>
  </sheets>
  <definedNames>
    <definedName name="_xlnm._FilterDatabase" localSheetId="3" hidden="1">'3 '!#REF!</definedName>
    <definedName name="_xlnm.Print_Area" localSheetId="0">'0'!$A$1:$B$32</definedName>
    <definedName name="_xlnm.Print_Area" localSheetId="1">'1 '!$A$1:$L$33</definedName>
    <definedName name="_xlnm.Print_Area" localSheetId="2">'2'!$A$1:$L$41</definedName>
    <definedName name="_xlnm.Print_Area" localSheetId="3">'3 '!$A$1:$M$39</definedName>
    <definedName name="_xlnm.Print_Area" localSheetId="4">'4'!$A$1:$O$15</definedName>
    <definedName name="_xlnm.Print_Area" localSheetId="5">'5'!$A$1:$N$12</definedName>
    <definedName name="_xlnm.Print_Area" localSheetId="6">'6'!$A$1:$O$58</definedName>
    <definedName name="_xlnm.Print_Area" localSheetId="7">'7'!$A$1:$M$40</definedName>
    <definedName name="_xlnm.Print_Titles" localSheetId="7">'7'!$A:$B,'7'!$1:$2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21" l="1"/>
  <c r="E36" i="21"/>
  <c r="L35" i="21"/>
  <c r="L36" i="21" s="1"/>
  <c r="K35" i="21"/>
  <c r="K36" i="21" s="1"/>
  <c r="J35" i="21"/>
  <c r="J36" i="21" s="1"/>
  <c r="I35" i="21"/>
  <c r="I36" i="21" s="1"/>
  <c r="H35" i="21"/>
  <c r="H36" i="21" s="1"/>
  <c r="G35" i="21"/>
  <c r="F35" i="21"/>
  <c r="F36" i="21" s="1"/>
  <c r="E35" i="21"/>
  <c r="D35" i="21"/>
  <c r="D36" i="21" s="1"/>
  <c r="L7" i="21"/>
  <c r="K7" i="21"/>
  <c r="J7" i="21"/>
  <c r="I7" i="21"/>
  <c r="H7" i="21"/>
  <c r="G7" i="21"/>
  <c r="F7" i="21"/>
  <c r="E7" i="21"/>
  <c r="D7" i="21"/>
  <c r="O48" i="10"/>
  <c r="O47" i="10"/>
  <c r="D10" i="11"/>
  <c r="K9" i="11"/>
  <c r="K10" i="11" s="1"/>
  <c r="J9" i="11"/>
  <c r="J10" i="11" s="1"/>
  <c r="I9" i="11"/>
  <c r="I10" i="11" s="1"/>
  <c r="H9" i="11"/>
  <c r="H10" i="11" s="1"/>
  <c r="G9" i="11"/>
  <c r="G10" i="11" s="1"/>
  <c r="F9" i="11"/>
  <c r="F10" i="11" s="1"/>
  <c r="E9" i="11"/>
  <c r="E10" i="11" s="1"/>
  <c r="D9" i="11"/>
  <c r="C9" i="11"/>
  <c r="C10" i="11" s="1"/>
  <c r="O11" i="5"/>
  <c r="L37" i="20"/>
  <c r="L35" i="20"/>
  <c r="L31" i="20"/>
  <c r="K31" i="20"/>
  <c r="J31" i="20"/>
  <c r="I31" i="20"/>
  <c r="H31" i="20"/>
  <c r="G31" i="20"/>
  <c r="F31" i="20"/>
  <c r="E31" i="20"/>
  <c r="D31" i="20"/>
  <c r="L24" i="20"/>
  <c r="K24" i="20"/>
  <c r="J24" i="20"/>
  <c r="I24" i="20"/>
  <c r="H24" i="20"/>
  <c r="G24" i="20"/>
  <c r="F24" i="20"/>
  <c r="E24" i="20"/>
  <c r="D24" i="20"/>
  <c r="L16" i="20"/>
  <c r="K16" i="20"/>
  <c r="K37" i="20" s="1"/>
  <c r="J16" i="20"/>
  <c r="J37" i="20" s="1"/>
  <c r="I16" i="20"/>
  <c r="I37" i="20" s="1"/>
  <c r="H16" i="20"/>
  <c r="H33" i="20" s="1"/>
  <c r="H35" i="20" s="1"/>
  <c r="H14" i="20"/>
  <c r="G14" i="20"/>
  <c r="F14" i="20"/>
  <c r="E14" i="20"/>
  <c r="D14" i="20"/>
  <c r="H9" i="20"/>
  <c r="G9" i="20"/>
  <c r="F9" i="20"/>
  <c r="E9" i="20"/>
  <c r="D9" i="20"/>
  <c r="H5" i="20"/>
  <c r="G5" i="20"/>
  <c r="G16" i="20" s="1"/>
  <c r="F5" i="20"/>
  <c r="F16" i="20" s="1"/>
  <c r="E5" i="20"/>
  <c r="E16" i="20" s="1"/>
  <c r="D5" i="20"/>
  <c r="D16" i="20" s="1"/>
  <c r="G37" i="19"/>
  <c r="F37" i="19"/>
  <c r="E37" i="19"/>
  <c r="D37" i="19"/>
  <c r="C37" i="19"/>
  <c r="K36" i="19"/>
  <c r="K38" i="19" s="1"/>
  <c r="J36" i="19"/>
  <c r="J38" i="19" s="1"/>
  <c r="I36" i="19"/>
  <c r="I38" i="19" s="1"/>
  <c r="H36" i="19"/>
  <c r="H38" i="19" s="1"/>
  <c r="C36" i="19"/>
  <c r="C38" i="19" s="1"/>
  <c r="G33" i="19"/>
  <c r="G36" i="19" s="1"/>
  <c r="G38" i="19" s="1"/>
  <c r="F33" i="19"/>
  <c r="F36" i="19" s="1"/>
  <c r="F38" i="19" s="1"/>
  <c r="E33" i="19"/>
  <c r="E36" i="19" s="1"/>
  <c r="E38" i="19" s="1"/>
  <c r="D33" i="19"/>
  <c r="D36" i="19" s="1"/>
  <c r="D38" i="19" s="1"/>
  <c r="C33" i="19"/>
  <c r="I29" i="19"/>
  <c r="G27" i="19"/>
  <c r="F27" i="19"/>
  <c r="E27" i="19"/>
  <c r="D27" i="19"/>
  <c r="C27" i="19"/>
  <c r="K25" i="19"/>
  <c r="K29" i="19" s="1"/>
  <c r="K39" i="19" s="1"/>
  <c r="J25" i="19"/>
  <c r="J29" i="19" s="1"/>
  <c r="J39" i="19" s="1"/>
  <c r="I25" i="19"/>
  <c r="H25" i="19"/>
  <c r="H29" i="19" s="1"/>
  <c r="H39" i="19" s="1"/>
  <c r="G25" i="19"/>
  <c r="G29" i="19" s="1"/>
  <c r="F25" i="19"/>
  <c r="F29" i="19" s="1"/>
  <c r="E25" i="19"/>
  <c r="E29" i="19" s="1"/>
  <c r="E39" i="19" s="1"/>
  <c r="D25" i="19"/>
  <c r="D29" i="19" s="1"/>
  <c r="D39" i="19" s="1"/>
  <c r="C25" i="19"/>
  <c r="C29" i="19" s="1"/>
  <c r="C39" i="19" s="1"/>
  <c r="H16" i="19"/>
  <c r="G15" i="19"/>
  <c r="F15" i="19"/>
  <c r="E15" i="19"/>
  <c r="D15" i="19"/>
  <c r="C15" i="19"/>
  <c r="K11" i="19"/>
  <c r="K16" i="19" s="1"/>
  <c r="J11" i="19"/>
  <c r="J16" i="19" s="1"/>
  <c r="I11" i="19"/>
  <c r="I16" i="19" s="1"/>
  <c r="H11" i="19"/>
  <c r="G11" i="19"/>
  <c r="G16" i="19" s="1"/>
  <c r="F11" i="19"/>
  <c r="F16" i="19" s="1"/>
  <c r="E11" i="19"/>
  <c r="E16" i="19" s="1"/>
  <c r="D11" i="19"/>
  <c r="D16" i="19" s="1"/>
  <c r="C11" i="19"/>
  <c r="C16" i="19" s="1"/>
  <c r="I22" i="18"/>
  <c r="G20" i="18"/>
  <c r="F20" i="18"/>
  <c r="E20" i="18"/>
  <c r="D20" i="18"/>
  <c r="C20" i="18"/>
  <c r="G18" i="18"/>
  <c r="F18" i="18"/>
  <c r="E18" i="18"/>
  <c r="D18" i="18"/>
  <c r="C18" i="18"/>
  <c r="K15" i="18"/>
  <c r="J15" i="18"/>
  <c r="I15" i="18"/>
  <c r="H15" i="18"/>
  <c r="G15" i="18"/>
  <c r="F15" i="18"/>
  <c r="D15" i="18"/>
  <c r="E14" i="18"/>
  <c r="E15" i="18" s="1"/>
  <c r="D14" i="18"/>
  <c r="C14" i="18"/>
  <c r="C15" i="18" s="1"/>
  <c r="H10" i="18"/>
  <c r="I9" i="18"/>
  <c r="I10" i="18" s="1"/>
  <c r="H9" i="18"/>
  <c r="H16" i="18" s="1"/>
  <c r="H19" i="18" s="1"/>
  <c r="H21" i="18" s="1"/>
  <c r="H22" i="18" s="1"/>
  <c r="G8" i="18"/>
  <c r="F8" i="18"/>
  <c r="E8" i="18"/>
  <c r="D8" i="18"/>
  <c r="C8" i="18"/>
  <c r="J7" i="18"/>
  <c r="H7" i="18"/>
  <c r="K6" i="18"/>
  <c r="K7" i="18" s="1"/>
  <c r="J6" i="18"/>
  <c r="J9" i="18" s="1"/>
  <c r="I6" i="18"/>
  <c r="I7" i="18" s="1"/>
  <c r="G6" i="18"/>
  <c r="G9" i="18" s="1"/>
  <c r="F6" i="18"/>
  <c r="F7" i="18" s="1"/>
  <c r="C6" i="18"/>
  <c r="C7" i="18" s="1"/>
  <c r="E5" i="18"/>
  <c r="E6" i="18" s="1"/>
  <c r="D5" i="18"/>
  <c r="D6" i="18" s="1"/>
  <c r="C5" i="18"/>
  <c r="M47" i="10"/>
  <c r="N11" i="5"/>
  <c r="M11" i="5"/>
  <c r="M52" i="10"/>
  <c r="M51" i="10"/>
  <c r="M50" i="10"/>
  <c r="N48" i="10"/>
  <c r="M48" i="10"/>
  <c r="N47" i="10"/>
  <c r="N29" i="10"/>
  <c r="M29" i="10"/>
  <c r="N15" i="10"/>
  <c r="M15" i="10"/>
  <c r="N22" i="10"/>
  <c r="M22" i="10"/>
  <c r="M8" i="10"/>
  <c r="O49" i="10" l="1"/>
  <c r="M49" i="10"/>
  <c r="N49" i="10"/>
  <c r="D33" i="20"/>
  <c r="D35" i="20" s="1"/>
  <c r="D37" i="20"/>
  <c r="E37" i="20"/>
  <c r="E33" i="20"/>
  <c r="E35" i="20" s="1"/>
  <c r="F37" i="20"/>
  <c r="F33" i="20"/>
  <c r="F35" i="20" s="1"/>
  <c r="G37" i="20"/>
  <c r="G33" i="20"/>
  <c r="G35" i="20" s="1"/>
  <c r="I33" i="20"/>
  <c r="I35" i="20" s="1"/>
  <c r="H37" i="20"/>
  <c r="J33" i="20"/>
  <c r="J35" i="20" s="1"/>
  <c r="K33" i="20"/>
  <c r="K35" i="20" s="1"/>
  <c r="I39" i="19"/>
  <c r="F39" i="19"/>
  <c r="G39" i="19"/>
  <c r="D7" i="18"/>
  <c r="D9" i="18"/>
  <c r="E7" i="18"/>
  <c r="E9" i="18"/>
  <c r="G10" i="18"/>
  <c r="G16" i="18"/>
  <c r="J16" i="18"/>
  <c r="J10" i="18"/>
  <c r="G7" i="18"/>
  <c r="C9" i="18"/>
  <c r="K9" i="18"/>
  <c r="F9" i="18"/>
  <c r="G17" i="18" l="1"/>
  <c r="G19" i="18"/>
  <c r="G21" i="18" s="1"/>
  <c r="G22" i="18" s="1"/>
  <c r="E10" i="18"/>
  <c r="E16" i="18"/>
  <c r="J17" i="18"/>
  <c r="J19" i="18"/>
  <c r="J21" i="18" s="1"/>
  <c r="J22" i="18" s="1"/>
  <c r="F10" i="18"/>
  <c r="F16" i="18"/>
  <c r="C10" i="18"/>
  <c r="C16" i="18"/>
  <c r="D16" i="18"/>
  <c r="D10" i="18"/>
  <c r="K16" i="18"/>
  <c r="K10" i="18"/>
  <c r="K19" i="18" l="1"/>
  <c r="K21" i="18" s="1"/>
  <c r="K22" i="18" s="1"/>
  <c r="K17" i="18"/>
  <c r="E19" i="18"/>
  <c r="E21" i="18" s="1"/>
  <c r="E22" i="18" s="1"/>
  <c r="E17" i="18"/>
  <c r="F19" i="18"/>
  <c r="F21" i="18" s="1"/>
  <c r="F22" i="18" s="1"/>
  <c r="F17" i="18"/>
  <c r="D17" i="18"/>
  <c r="D19" i="18"/>
  <c r="D21" i="18" s="1"/>
  <c r="D22" i="18" s="1"/>
  <c r="C17" i="18"/>
  <c r="C19" i="18"/>
  <c r="C21" i="18" s="1"/>
  <c r="C22" i="18" s="1"/>
  <c r="L15" i="18" l="1"/>
  <c r="M35" i="21" l="1"/>
  <c r="M36" i="21" s="1"/>
  <c r="M7" i="21"/>
  <c r="M31" i="20"/>
  <c r="M24" i="20"/>
  <c r="M16" i="20"/>
  <c r="L36" i="19"/>
  <c r="L38" i="19" s="1"/>
  <c r="L25" i="19"/>
  <c r="L29" i="19" s="1"/>
  <c r="L11" i="19"/>
  <c r="L16" i="19" s="1"/>
  <c r="L6" i="18"/>
  <c r="L9" i="18" l="1"/>
  <c r="L10" i="18" s="1"/>
  <c r="L7" i="18"/>
  <c r="M37" i="20"/>
  <c r="L39" i="19"/>
  <c r="M35" i="20"/>
  <c r="L16" i="18" l="1"/>
  <c r="L19" i="18" s="1"/>
  <c r="L21" i="18" s="1"/>
  <c r="L22" i="18" s="1"/>
  <c r="L17" i="18" l="1"/>
  <c r="G52" i="10" l="1"/>
  <c r="F52" i="10"/>
  <c r="G51" i="10"/>
  <c r="F51" i="10"/>
  <c r="G50" i="10"/>
  <c r="F50" i="10"/>
  <c r="G48" i="10"/>
  <c r="F48" i="10"/>
  <c r="G47" i="10"/>
  <c r="F47" i="10"/>
  <c r="G29" i="10"/>
  <c r="F29" i="10"/>
  <c r="G15" i="10"/>
  <c r="F15" i="10"/>
  <c r="G22" i="10"/>
  <c r="F22" i="10"/>
  <c r="G8" i="10"/>
  <c r="F8" i="10"/>
  <c r="G11" i="5"/>
  <c r="F11" i="5"/>
  <c r="G49" i="10" l="1"/>
  <c r="F49" i="10"/>
  <c r="H11" i="5"/>
  <c r="H52" i="10" l="1"/>
  <c r="E52" i="10"/>
  <c r="D52" i="10"/>
  <c r="C52" i="10"/>
  <c r="H51" i="10"/>
  <c r="E51" i="10"/>
  <c r="D51" i="10"/>
  <c r="C51" i="10"/>
  <c r="H50" i="10"/>
  <c r="E50" i="10"/>
  <c r="D50" i="10"/>
  <c r="C50" i="10"/>
  <c r="H48" i="10"/>
  <c r="E48" i="10"/>
  <c r="D48" i="10"/>
  <c r="C48" i="10"/>
  <c r="H47" i="10"/>
  <c r="E47" i="10"/>
  <c r="D47" i="10"/>
  <c r="C47" i="10"/>
  <c r="H29" i="10"/>
  <c r="E29" i="10"/>
  <c r="D29" i="10"/>
  <c r="C29" i="10"/>
  <c r="H15" i="10"/>
  <c r="H22" i="10"/>
  <c r="E22" i="10"/>
  <c r="D22" i="10"/>
  <c r="C22" i="10"/>
  <c r="H8" i="10"/>
  <c r="E8" i="10"/>
  <c r="D8" i="10"/>
  <c r="C8" i="10"/>
  <c r="E11" i="5"/>
  <c r="D11" i="5"/>
  <c r="C11" i="5"/>
  <c r="D49" i="10" l="1"/>
  <c r="C49" i="10"/>
  <c r="E49" i="10"/>
  <c r="H49" i="10"/>
  <c r="I52" i="10"/>
  <c r="I51" i="10"/>
  <c r="I50" i="10"/>
  <c r="I48" i="10"/>
  <c r="I47" i="10"/>
  <c r="I29" i="10"/>
  <c r="I15" i="10"/>
  <c r="I22" i="10"/>
  <c r="I8" i="10"/>
  <c r="L10" i="11"/>
  <c r="I11" i="5"/>
  <c r="I49" i="10" l="1"/>
</calcChain>
</file>

<file path=xl/sharedStrings.xml><?xml version="1.0" encoding="utf-8"?>
<sst xmlns="http://schemas.openxmlformats.org/spreadsheetml/2006/main" count="324" uniqueCount="192">
  <si>
    <t>頁</t>
  </si>
  <si>
    <t>設備投資</t>
  </si>
  <si>
    <t>* 当データ集では、マイナス数値は（   ）で表示しております。</t>
  </si>
  <si>
    <t>（百万円）</t>
  </si>
  <si>
    <t>売上高</t>
  </si>
  <si>
    <t>売上原価</t>
  </si>
  <si>
    <t>売上総利益</t>
  </si>
  <si>
    <t>営業利益</t>
  </si>
  <si>
    <t>営業利益率</t>
  </si>
  <si>
    <t>営業外収益及び費用</t>
  </si>
  <si>
    <t>受取利息及び配当金</t>
  </si>
  <si>
    <t>支払利息</t>
  </si>
  <si>
    <t>その他</t>
  </si>
  <si>
    <t>計</t>
  </si>
  <si>
    <t>税引前当期純利益</t>
  </si>
  <si>
    <t>法人税等</t>
  </si>
  <si>
    <t>（円）</t>
  </si>
  <si>
    <t>基本的</t>
  </si>
  <si>
    <t>希薄化後</t>
  </si>
  <si>
    <t>平均為替レート：</t>
  </si>
  <si>
    <t>US$</t>
  </si>
  <si>
    <t>EURO</t>
  </si>
  <si>
    <t>資産の部</t>
  </si>
  <si>
    <t>流動資産：</t>
  </si>
  <si>
    <t>流動資産　計</t>
  </si>
  <si>
    <t>投資</t>
  </si>
  <si>
    <t>有形固定資産</t>
  </si>
  <si>
    <t>その他の資産</t>
  </si>
  <si>
    <t>資産合計</t>
  </si>
  <si>
    <t>流動負債：</t>
  </si>
  <si>
    <t>未払費用</t>
  </si>
  <si>
    <t>その他の流動負債</t>
  </si>
  <si>
    <t>流動負債　計</t>
  </si>
  <si>
    <t>未払退職及び年金費用</t>
  </si>
  <si>
    <t>その他の固定負債</t>
  </si>
  <si>
    <t>負債　計</t>
  </si>
  <si>
    <t>資本金</t>
  </si>
  <si>
    <t>その他の包括利益（損失）累計額</t>
  </si>
  <si>
    <t>営業活動によるキャッシュ･フロー：</t>
  </si>
  <si>
    <t>減価償却費</t>
  </si>
  <si>
    <t>投資活動によるキャッシュ･フロー：</t>
  </si>
  <si>
    <t>有価証券購入額</t>
  </si>
  <si>
    <t>有価証券売却額</t>
  </si>
  <si>
    <t>財務活動によるキャッシュ･フロー：</t>
  </si>
  <si>
    <t>長期債務による調達額</t>
  </si>
  <si>
    <t>長期債務の返済額</t>
  </si>
  <si>
    <t>配当金の支払額</t>
  </si>
  <si>
    <t>財務活動によるキャッシュ･フロー　計</t>
  </si>
  <si>
    <t>合計</t>
  </si>
  <si>
    <t>国内</t>
  </si>
  <si>
    <t>海外：</t>
  </si>
  <si>
    <t>米州</t>
  </si>
  <si>
    <t>欧州</t>
  </si>
  <si>
    <t>海外　計</t>
  </si>
  <si>
    <t>消去又は全社：</t>
  </si>
  <si>
    <t>　計</t>
  </si>
  <si>
    <t>（回）</t>
  </si>
  <si>
    <t>株主資本比率</t>
  </si>
  <si>
    <t>（日）</t>
  </si>
  <si>
    <t>（倍）</t>
  </si>
  <si>
    <t>（千株）</t>
  </si>
  <si>
    <t>期末株式時価総額</t>
  </si>
  <si>
    <t>（人）</t>
  </si>
  <si>
    <t>　海外　計</t>
  </si>
  <si>
    <t>自己株式</t>
    <rPh sb="0" eb="2">
      <t>ジコ</t>
    </rPh>
    <rPh sb="2" eb="4">
      <t>カブシキ</t>
    </rPh>
    <phoneticPr fontId="2"/>
  </si>
  <si>
    <t>金融収支</t>
    <rPh sb="0" eb="2">
      <t>キンユウ</t>
    </rPh>
    <rPh sb="2" eb="4">
      <t>シュウシ</t>
    </rPh>
    <phoneticPr fontId="2"/>
  </si>
  <si>
    <t>長期債務</t>
    <rPh sb="2" eb="4">
      <t>サイム</t>
    </rPh>
    <phoneticPr fontId="2"/>
  </si>
  <si>
    <t>-</t>
  </si>
  <si>
    <t>*</t>
    <phoneticPr fontId="2"/>
  </si>
  <si>
    <t xml:space="preserve"> 1. 損益計算書</t>
    <phoneticPr fontId="2"/>
  </si>
  <si>
    <t xml:space="preserve"> 2. 貸借対照表</t>
    <phoneticPr fontId="2"/>
  </si>
  <si>
    <t>利益剰余金</t>
    <rPh sb="0" eb="2">
      <t>リエキ</t>
    </rPh>
    <rPh sb="2" eb="5">
      <t>ジョウヨキン</t>
    </rPh>
    <phoneticPr fontId="2"/>
  </si>
  <si>
    <t>現金及び現金同等物</t>
    <rPh sb="4" eb="6">
      <t>ゲンキン</t>
    </rPh>
    <rPh sb="6" eb="8">
      <t>ドウトウ</t>
    </rPh>
    <rPh sb="8" eb="9">
      <t>ブツ</t>
    </rPh>
    <phoneticPr fontId="2"/>
  </si>
  <si>
    <t>前払費用及びその他の流動資産</t>
    <rPh sb="0" eb="2">
      <t>マエバラ</t>
    </rPh>
    <rPh sb="2" eb="4">
      <t>ヒヨウ</t>
    </rPh>
    <rPh sb="4" eb="5">
      <t>オヨ</t>
    </rPh>
    <phoneticPr fontId="2"/>
  </si>
  <si>
    <t>未払法人税等</t>
    <rPh sb="2" eb="5">
      <t>ホウジンゼイ</t>
    </rPh>
    <rPh sb="5" eb="6">
      <t>トウ</t>
    </rPh>
    <phoneticPr fontId="2"/>
  </si>
  <si>
    <t>資本剰余金</t>
    <rPh sb="2" eb="4">
      <t>ジョウヨ</t>
    </rPh>
    <phoneticPr fontId="2"/>
  </si>
  <si>
    <t>法人税等繰延税額</t>
    <rPh sb="0" eb="3">
      <t>ホウジンゼイ</t>
    </rPh>
    <rPh sb="3" eb="4">
      <t>トウ</t>
    </rPh>
    <rPh sb="4" eb="6">
      <t>クリノベ</t>
    </rPh>
    <rPh sb="6" eb="8">
      <t>ゼイガク</t>
    </rPh>
    <phoneticPr fontId="2"/>
  </si>
  <si>
    <t>為替変動の現金及び現金同等物への影響額</t>
    <rPh sb="9" eb="11">
      <t>ゲンキン</t>
    </rPh>
    <rPh sb="11" eb="13">
      <t>ドウトウ</t>
    </rPh>
    <rPh sb="13" eb="14">
      <t>ブツ</t>
    </rPh>
    <phoneticPr fontId="2"/>
  </si>
  <si>
    <t>連結：</t>
    <rPh sb="0" eb="2">
      <t>レンケツ</t>
    </rPh>
    <phoneticPr fontId="2"/>
  </si>
  <si>
    <t>売上債権</t>
    <rPh sb="0" eb="2">
      <t>ウリアゲ</t>
    </rPh>
    <rPh sb="2" eb="4">
      <t>サイケン</t>
    </rPh>
    <phoneticPr fontId="2"/>
  </si>
  <si>
    <t>買入債務</t>
    <rPh sb="0" eb="2">
      <t>カイイレ</t>
    </rPh>
    <rPh sb="2" eb="4">
      <t>サイム</t>
    </rPh>
    <phoneticPr fontId="2"/>
  </si>
  <si>
    <t>短期借入金等</t>
    <rPh sb="5" eb="6">
      <t>ナド</t>
    </rPh>
    <phoneticPr fontId="2"/>
  </si>
  <si>
    <t>固定資産売廃却損</t>
    <rPh sb="7" eb="8">
      <t>ソン</t>
    </rPh>
    <phoneticPr fontId="2"/>
  </si>
  <si>
    <t>売上債権の増減額</t>
    <rPh sb="5" eb="7">
      <t>ゾウゲン</t>
    </rPh>
    <rPh sb="7" eb="8">
      <t>ガク</t>
    </rPh>
    <phoneticPr fontId="2"/>
  </si>
  <si>
    <t>買入債務の増減額</t>
    <rPh sb="1" eb="2">
      <t>イ</t>
    </rPh>
    <phoneticPr fontId="2"/>
  </si>
  <si>
    <t>未払法人税等の増減額</t>
    <rPh sb="2" eb="5">
      <t>ホウジンゼイ</t>
    </rPh>
    <rPh sb="5" eb="6">
      <t>トウ</t>
    </rPh>
    <phoneticPr fontId="2"/>
  </si>
  <si>
    <t>負債及び純資産合計</t>
    <rPh sb="4" eb="7">
      <t>ジュンシサン</t>
    </rPh>
    <phoneticPr fontId="2"/>
  </si>
  <si>
    <t>株主資本　計</t>
    <rPh sb="0" eb="2">
      <t>カブヌシ</t>
    </rPh>
    <phoneticPr fontId="2"/>
  </si>
  <si>
    <t>負債及び純資産の部</t>
    <rPh sb="4" eb="7">
      <t>ジュンシサン</t>
    </rPh>
    <phoneticPr fontId="2"/>
  </si>
  <si>
    <t>1株当たり当期純利益(EPS)
（キヤノン㈱に帰属）：</t>
    <rPh sb="23" eb="25">
      <t>キゾク</t>
    </rPh>
    <phoneticPr fontId="2"/>
  </si>
  <si>
    <t>　売上総利益率</t>
    <phoneticPr fontId="2"/>
  </si>
  <si>
    <t>　営業利益率</t>
    <phoneticPr fontId="2"/>
  </si>
  <si>
    <t>　税引前当期純利益率</t>
    <phoneticPr fontId="2"/>
  </si>
  <si>
    <t>　当期純利益率</t>
    <phoneticPr fontId="2"/>
  </si>
  <si>
    <t>たな卸資産</t>
    <phoneticPr fontId="2"/>
  </si>
  <si>
    <t>長期債権</t>
    <phoneticPr fontId="2"/>
  </si>
  <si>
    <t>営業活動によるキャッシュ･フローへの調整：</t>
    <phoneticPr fontId="2"/>
  </si>
  <si>
    <t>たな卸資産の増減額</t>
    <phoneticPr fontId="2"/>
  </si>
  <si>
    <t>未払費用の増減額</t>
    <phoneticPr fontId="2"/>
  </si>
  <si>
    <t>短期借入金の増減額</t>
    <phoneticPr fontId="2"/>
  </si>
  <si>
    <t>現金及び現金同等物の純増減額</t>
    <phoneticPr fontId="2"/>
  </si>
  <si>
    <t>現金及び現金同等物の期首残高</t>
    <phoneticPr fontId="2"/>
  </si>
  <si>
    <t>現金及び現金同等物の期末残高</t>
    <phoneticPr fontId="2"/>
  </si>
  <si>
    <t>期末株価</t>
    <phoneticPr fontId="2"/>
  </si>
  <si>
    <t>株価純資産倍率（PBR）</t>
    <phoneticPr fontId="2"/>
  </si>
  <si>
    <t>　米州</t>
    <phoneticPr fontId="2"/>
  </si>
  <si>
    <t>　2.貸借対照表</t>
    <phoneticPr fontId="2"/>
  </si>
  <si>
    <t>産業機器その他</t>
    <rPh sb="0" eb="2">
      <t>サンギョウ</t>
    </rPh>
    <rPh sb="2" eb="4">
      <t>キキ</t>
    </rPh>
    <rPh sb="6" eb="7">
      <t>タ</t>
    </rPh>
    <phoneticPr fontId="2"/>
  </si>
  <si>
    <t>消去</t>
    <rPh sb="0" eb="2">
      <t>ショウキョ</t>
    </rPh>
    <phoneticPr fontId="2"/>
  </si>
  <si>
    <t>オフィス：</t>
    <phoneticPr fontId="2"/>
  </si>
  <si>
    <t>産業機器その他：</t>
    <rPh sb="0" eb="2">
      <t>サンギョウ</t>
    </rPh>
    <rPh sb="2" eb="4">
      <t>キキ</t>
    </rPh>
    <phoneticPr fontId="2"/>
  </si>
  <si>
    <t>総資産</t>
  </si>
  <si>
    <t>総資産</t>
    <rPh sb="0" eb="3">
      <t>ソウシサン</t>
    </rPh>
    <phoneticPr fontId="2"/>
  </si>
  <si>
    <t>資本的支出</t>
  </si>
  <si>
    <t>資本的支出</t>
    <rPh sb="0" eb="3">
      <t>シホンテキ</t>
    </rPh>
    <rPh sb="3" eb="5">
      <t>シシュツ</t>
    </rPh>
    <phoneticPr fontId="2"/>
  </si>
  <si>
    <t>当社株主に帰属する当期純利益</t>
    <rPh sb="0" eb="2">
      <t>トウシャ</t>
    </rPh>
    <rPh sb="2" eb="4">
      <t>カブヌシ</t>
    </rPh>
    <rPh sb="5" eb="7">
      <t>キゾク</t>
    </rPh>
    <phoneticPr fontId="2"/>
  </si>
  <si>
    <t>オフィス</t>
    <phoneticPr fontId="2"/>
  </si>
  <si>
    <t>アジア・オセアニア</t>
    <phoneticPr fontId="2"/>
  </si>
  <si>
    <t>使用総資本回転率（売上高/総資本）</t>
    <phoneticPr fontId="2"/>
  </si>
  <si>
    <t>売上高</t>
    <phoneticPr fontId="2"/>
  </si>
  <si>
    <t>営業費用</t>
    <rPh sb="0" eb="2">
      <t>エイギョウ</t>
    </rPh>
    <rPh sb="2" eb="4">
      <t>ヒヨウ</t>
    </rPh>
    <phoneticPr fontId="2"/>
  </si>
  <si>
    <t>売上高研究開発費比率</t>
    <phoneticPr fontId="2"/>
  </si>
  <si>
    <t>たな卸資産回転日数</t>
    <phoneticPr fontId="2"/>
  </si>
  <si>
    <t>インタレスト・カバレッジ・レシオ</t>
    <phoneticPr fontId="2"/>
  </si>
  <si>
    <t>　欧州</t>
    <phoneticPr fontId="2"/>
  </si>
  <si>
    <t>　アジア・オセアニア</t>
    <phoneticPr fontId="2"/>
  </si>
  <si>
    <t>イメージングシステム</t>
    <phoneticPr fontId="2"/>
  </si>
  <si>
    <t>固定資産購入額</t>
    <phoneticPr fontId="2"/>
  </si>
  <si>
    <t>固定資産売却額</t>
    <phoneticPr fontId="2"/>
  </si>
  <si>
    <t>株価収益率（PER）</t>
    <phoneticPr fontId="2"/>
  </si>
  <si>
    <t>期末発行済株式総数</t>
    <rPh sb="0" eb="2">
      <t>キマツ</t>
    </rPh>
    <rPh sb="2" eb="4">
      <t>ハッコウ</t>
    </rPh>
    <rPh sb="4" eb="5">
      <t>スミ</t>
    </rPh>
    <rPh sb="5" eb="7">
      <t>カブシキ</t>
    </rPh>
    <rPh sb="7" eb="9">
      <t>ソウスウ</t>
    </rPh>
    <phoneticPr fontId="2"/>
  </si>
  <si>
    <t>短期投資</t>
    <rPh sb="0" eb="2">
      <t>タンキ</t>
    </rPh>
    <rPh sb="2" eb="4">
      <t>トウシ</t>
    </rPh>
    <phoneticPr fontId="2"/>
  </si>
  <si>
    <t>メディカルシステム</t>
    <phoneticPr fontId="2"/>
  </si>
  <si>
    <t>-</t>
    <phoneticPr fontId="2"/>
  </si>
  <si>
    <t>年間業績推移データ集（連結）</t>
    <rPh sb="0" eb="2">
      <t>ネンカン</t>
    </rPh>
    <rPh sb="2" eb="4">
      <t>ギョウセキ</t>
    </rPh>
    <rPh sb="4" eb="6">
      <t>スイイ</t>
    </rPh>
    <phoneticPr fontId="2"/>
  </si>
  <si>
    <t>*2</t>
    <phoneticPr fontId="2"/>
  </si>
  <si>
    <t>（百万円）</t>
    <phoneticPr fontId="2"/>
  </si>
  <si>
    <t>非支配持分控除前当期純利益</t>
    <rPh sb="0" eb="1">
      <t>ヒ</t>
    </rPh>
    <rPh sb="1" eb="3">
      <t>シハイ</t>
    </rPh>
    <rPh sb="3" eb="5">
      <t>モチブン</t>
    </rPh>
    <rPh sb="5" eb="7">
      <t>コウジョ</t>
    </rPh>
    <rPh sb="7" eb="8">
      <t>マエ</t>
    </rPh>
    <rPh sb="8" eb="10">
      <t>トウキ</t>
    </rPh>
    <rPh sb="10" eb="13">
      <t>ジュンリエキ</t>
    </rPh>
    <phoneticPr fontId="2"/>
  </si>
  <si>
    <t>非支配持分帰属損益</t>
    <phoneticPr fontId="2"/>
  </si>
  <si>
    <t>株主資本：</t>
    <rPh sb="0" eb="2">
      <t>カブヌシ</t>
    </rPh>
    <rPh sb="2" eb="4">
      <t>シホン</t>
    </rPh>
    <phoneticPr fontId="2"/>
  </si>
  <si>
    <t>非支配持分</t>
    <rPh sb="0" eb="1">
      <t>ヒ</t>
    </rPh>
    <rPh sb="1" eb="3">
      <t>シハイ</t>
    </rPh>
    <phoneticPr fontId="2"/>
  </si>
  <si>
    <t>純資産合計</t>
    <rPh sb="0" eb="3">
      <t>ジュンシサン</t>
    </rPh>
    <rPh sb="3" eb="5">
      <t>ゴウケイ</t>
    </rPh>
    <phoneticPr fontId="2"/>
  </si>
  <si>
    <t>非支配持分控除前当期純利益</t>
    <rPh sb="0" eb="1">
      <t>ヒ</t>
    </rPh>
    <rPh sb="1" eb="3">
      <t>シハイ</t>
    </rPh>
    <rPh sb="3" eb="5">
      <t>モチブン</t>
    </rPh>
    <rPh sb="5" eb="7">
      <t>コウジョ</t>
    </rPh>
    <rPh sb="7" eb="8">
      <t>マエ</t>
    </rPh>
    <phoneticPr fontId="2"/>
  </si>
  <si>
    <t>その他</t>
    <phoneticPr fontId="2"/>
  </si>
  <si>
    <t>*1</t>
    <phoneticPr fontId="2"/>
  </si>
  <si>
    <t>　1.損益計算書</t>
    <phoneticPr fontId="2"/>
  </si>
  <si>
    <t>　4.ビジネスユニット別売上高</t>
    <phoneticPr fontId="2"/>
  </si>
  <si>
    <t>事業取得額</t>
    <rPh sb="0" eb="2">
      <t>ジギョウ</t>
    </rPh>
    <rPh sb="2" eb="4">
      <t>シュトク</t>
    </rPh>
    <rPh sb="4" eb="5">
      <t>ガク</t>
    </rPh>
    <phoneticPr fontId="2"/>
  </si>
  <si>
    <t>*3</t>
    <phoneticPr fontId="2"/>
  </si>
  <si>
    <t>　3.キャッシュフロー表</t>
    <phoneticPr fontId="2"/>
  </si>
  <si>
    <t xml:space="preserve"> 3. キャッシュフロー表</t>
    <phoneticPr fontId="2"/>
  </si>
  <si>
    <t>プリンティング</t>
    <phoneticPr fontId="2"/>
  </si>
  <si>
    <t>イメージング</t>
    <phoneticPr fontId="2"/>
  </si>
  <si>
    <t>メディカル</t>
    <phoneticPr fontId="2"/>
  </si>
  <si>
    <t>プリンティング：</t>
    <phoneticPr fontId="2"/>
  </si>
  <si>
    <t>*4</t>
    <phoneticPr fontId="2"/>
  </si>
  <si>
    <t xml:space="preserve"> 5. 地域別売上高</t>
    <phoneticPr fontId="2"/>
  </si>
  <si>
    <t>8. 研究開発費</t>
    <phoneticPr fontId="2"/>
  </si>
  <si>
    <t>10. 期末従業員数</t>
    <phoneticPr fontId="2"/>
  </si>
  <si>
    <t>　5.地域別売上高</t>
    <phoneticPr fontId="2"/>
  </si>
  <si>
    <t>　6.事業の種類別セグメント情報</t>
    <phoneticPr fontId="2"/>
  </si>
  <si>
    <t>　7.設備投資</t>
    <phoneticPr fontId="2"/>
  </si>
  <si>
    <t>　8.研究開発費</t>
    <phoneticPr fontId="2"/>
  </si>
  <si>
    <t>　9.財務指標</t>
    <phoneticPr fontId="2"/>
  </si>
  <si>
    <t>　10.期末従業員数</t>
    <phoneticPr fontId="2"/>
  </si>
  <si>
    <t>その他 - 純額</t>
    <rPh sb="6" eb="7">
      <t>ジュン</t>
    </rPh>
    <rPh sb="7" eb="8">
      <t>ガク</t>
    </rPh>
    <phoneticPr fontId="2"/>
  </si>
  <si>
    <t>営業活動によるキャッシュ･フロー　計  (a）</t>
  </si>
  <si>
    <t>投資活動によるキャッシュ･フロー　計  （b）</t>
  </si>
  <si>
    <t>フリー・キャッシュ・フロー ： （a）＋（b）</t>
  </si>
  <si>
    <r>
      <t>有利子負債依存度</t>
    </r>
    <r>
      <rPr>
        <sz val="10"/>
        <rFont val="Meiryo UI"/>
        <family val="3"/>
        <charset val="128"/>
      </rPr>
      <t>（有利子負債/総資本）</t>
    </r>
  </si>
  <si>
    <t>有給休暇の引当金について2013年～2019年の財務諸表を修正しております。</t>
    <rPh sb="0" eb="2">
      <t>ユウキュウ</t>
    </rPh>
    <rPh sb="2" eb="4">
      <t>キュウカ</t>
    </rPh>
    <rPh sb="5" eb="7">
      <t>ヒキアテ</t>
    </rPh>
    <rPh sb="7" eb="8">
      <t>キン</t>
    </rPh>
    <rPh sb="16" eb="17">
      <t>ネン</t>
    </rPh>
    <rPh sb="22" eb="23">
      <t>ネン</t>
    </rPh>
    <rPh sb="24" eb="26">
      <t>ザイム</t>
    </rPh>
    <rPh sb="26" eb="28">
      <t>ショヒョウ</t>
    </rPh>
    <rPh sb="29" eb="31">
      <t>シュウセイ</t>
    </rPh>
    <phoneticPr fontId="2"/>
  </si>
  <si>
    <t>有給休暇の引当金について2013年～2019年の財務諸表を修正しております。</t>
    <phoneticPr fontId="2"/>
  </si>
  <si>
    <t>設備投資は、有形固定資産と無形固定資産の合計です。</t>
    <rPh sb="0" eb="2">
      <t>セツビ</t>
    </rPh>
    <rPh sb="2" eb="4">
      <t>トウシ</t>
    </rPh>
    <rPh sb="6" eb="8">
      <t>ユウケイ</t>
    </rPh>
    <rPh sb="8" eb="10">
      <t>コテイ</t>
    </rPh>
    <rPh sb="10" eb="12">
      <t>シサン</t>
    </rPh>
    <rPh sb="13" eb="15">
      <t>ムケイ</t>
    </rPh>
    <rPh sb="15" eb="17">
      <t>コテイ</t>
    </rPh>
    <rPh sb="17" eb="19">
      <t>シサン</t>
    </rPh>
    <rPh sb="20" eb="22">
      <t>ゴウケイ</t>
    </rPh>
    <phoneticPr fontId="2"/>
  </si>
  <si>
    <r>
      <t>7. 設備投資　</t>
    </r>
    <r>
      <rPr>
        <b/>
        <sz val="12"/>
        <rFont val="Meiryo UI"/>
        <family val="3"/>
        <charset val="128"/>
      </rPr>
      <t>　</t>
    </r>
    <r>
      <rPr>
        <sz val="12"/>
        <rFont val="Meiryo UI"/>
        <family val="3"/>
        <charset val="128"/>
      </rPr>
      <t>*1 *2</t>
    </r>
    <phoneticPr fontId="2"/>
  </si>
  <si>
    <t>2018年度より適用している年金会計基準変更影響に伴い、「営業利益」と「営業外収益及び費用」で組替え処理を行っており、研究開発費についても2017年度まで遡及して反映しております。</t>
    <rPh sb="4" eb="6">
      <t>ネンド</t>
    </rPh>
    <rPh sb="8" eb="10">
      <t>テキヨウ</t>
    </rPh>
    <rPh sb="14" eb="16">
      <t>ネンキン</t>
    </rPh>
    <rPh sb="16" eb="18">
      <t>カイケイ</t>
    </rPh>
    <rPh sb="18" eb="20">
      <t>キジュン</t>
    </rPh>
    <rPh sb="20" eb="22">
      <t>ヘンコウ</t>
    </rPh>
    <rPh sb="22" eb="24">
      <t>エイキョウ</t>
    </rPh>
    <rPh sb="25" eb="26">
      <t>トモナ</t>
    </rPh>
    <rPh sb="29" eb="31">
      <t>エイギョウ</t>
    </rPh>
    <rPh sb="31" eb="33">
      <t>リエキ</t>
    </rPh>
    <rPh sb="36" eb="39">
      <t>エイギョウガイ</t>
    </rPh>
    <rPh sb="39" eb="41">
      <t>シュウエキ</t>
    </rPh>
    <rPh sb="41" eb="42">
      <t>オヨ</t>
    </rPh>
    <rPh sb="43" eb="45">
      <t>ヒヨウ</t>
    </rPh>
    <rPh sb="47" eb="49">
      <t>クミカ</t>
    </rPh>
    <rPh sb="50" eb="52">
      <t>ショリ</t>
    </rPh>
    <rPh sb="53" eb="54">
      <t>オコナ</t>
    </rPh>
    <rPh sb="59" eb="61">
      <t>ケンキュウ</t>
    </rPh>
    <rPh sb="61" eb="64">
      <t>カイハツヒ</t>
    </rPh>
    <rPh sb="73" eb="75">
      <t>ネンド</t>
    </rPh>
    <rPh sb="77" eb="79">
      <t>ソキュウ</t>
    </rPh>
    <rPh sb="81" eb="83">
      <t>ハンエイ</t>
    </rPh>
    <phoneticPr fontId="2"/>
  </si>
  <si>
    <t>研究開発費 *3</t>
    <phoneticPr fontId="2"/>
  </si>
  <si>
    <r>
      <t>9. 財務指標　　</t>
    </r>
    <r>
      <rPr>
        <sz val="12"/>
        <rFont val="Meiryo UI"/>
        <family val="3"/>
        <charset val="128"/>
      </rPr>
      <t>*1</t>
    </r>
    <phoneticPr fontId="2"/>
  </si>
  <si>
    <t>総資本当期純利益率（ROA） *4</t>
    <phoneticPr fontId="2"/>
  </si>
  <si>
    <t>株主資本当期純利益率（ROE） *4</t>
    <phoneticPr fontId="2"/>
  </si>
  <si>
    <t>インダストリアル</t>
    <phoneticPr fontId="2"/>
  </si>
  <si>
    <t>その他及び全社</t>
    <rPh sb="2" eb="3">
      <t>ホカ</t>
    </rPh>
    <rPh sb="3" eb="4">
      <t>オヨ</t>
    </rPh>
    <rPh sb="5" eb="7">
      <t>ゼンシャ</t>
    </rPh>
    <phoneticPr fontId="2"/>
  </si>
  <si>
    <t>内部管理体制の変更に基づき、2022年より、セグメント区分の名称および構成をプリンティングビジネスユニット、イメージングビジネスユニット、メディカルビジネスユニット、インダストリアルビジネスユニット、その他及び全社、消去に変更しております。</t>
    <phoneticPr fontId="2"/>
  </si>
  <si>
    <t>これに伴い、2021年度も遡及して組み替えております。</t>
  </si>
  <si>
    <t>インダストリアル：</t>
    <phoneticPr fontId="2"/>
  </si>
  <si>
    <t>その他及び全社：</t>
    <rPh sb="2" eb="3">
      <t>ホカ</t>
    </rPh>
    <rPh sb="3" eb="4">
      <t>オヨ</t>
    </rPh>
    <rPh sb="5" eb="7">
      <t>ゼンシャ</t>
    </rPh>
    <phoneticPr fontId="2"/>
  </si>
  <si>
    <t>当社株主に帰属する純利益で算出。</t>
    <rPh sb="0" eb="2">
      <t>トウシャ</t>
    </rPh>
    <rPh sb="2" eb="4">
      <t>カブヌシ</t>
    </rPh>
    <rPh sb="5" eb="7">
      <t>キゾク</t>
    </rPh>
    <rPh sb="9" eb="12">
      <t>ジュンリエキ</t>
    </rPh>
    <rPh sb="13" eb="15">
      <t>サンシュツ</t>
    </rPh>
    <phoneticPr fontId="2"/>
  </si>
  <si>
    <t>消去：</t>
    <phoneticPr fontId="2"/>
  </si>
  <si>
    <t xml:space="preserve"> 6. 事業の種類別セグメント情報</t>
    <phoneticPr fontId="2"/>
  </si>
  <si>
    <t>-</t>
    <phoneticPr fontId="2"/>
  </si>
  <si>
    <t xml:space="preserve"> 4. ビジネスユニット別売上高</t>
    <phoneticPr fontId="2"/>
  </si>
  <si>
    <t xml:space="preserve">2023年より、従来その他に含めて表示していた一部のビジネスを、プリンティングビジネスユニ ットに含めて表示しております。これに伴い、2021年・2022年について組み替えて表示しております。
</t>
    <rPh sb="71" eb="72">
      <t>ネン</t>
    </rPh>
    <phoneticPr fontId="2"/>
  </si>
  <si>
    <t>2024年3月28日</t>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</si>
</sst>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quot;▲&quot;#,##0"/>
    <numFmt numFmtId="177" formatCode="0.00%;&quot;▲&quot;0.00%"/>
    <numFmt numFmtId="178" formatCode="yyyy/mm/dd"/>
    <numFmt numFmtId="179" formatCode="#,##0_);\(#,##0\)"/>
    <numFmt numFmtId="180" formatCode="0.0%_);\(0.0%\)"/>
    <numFmt numFmtId="181" formatCode="0_);\(0\)"/>
    <numFmt numFmtId="182" formatCode="\+#,##0_);\(#,##0\);0_)"/>
    <numFmt numFmtId="183" formatCode="\+0.0%_);\(0.0%\);0.0%_)"/>
    <numFmt numFmtId="184" formatCode="\+0.00%_);\(0.00%\);0.00%_)"/>
    <numFmt numFmtId="185" formatCode="\+#,##0.0_);\(#,##0.0\);0.0_)"/>
    <numFmt numFmtId="186" formatCode="\+#,##0.00_);\(#,##0.00\);0.00_)"/>
    <numFmt numFmtId="187" formatCode="#,##0.0_);\(#,##0.0\)"/>
    <numFmt numFmtId="188" formatCode="#,##0.00_);\(#,##0.00\)"/>
    <numFmt numFmtId="189" formatCode="@*."/>
  </numFmts>
  <fonts count="14" x14ac:knownFonts="1">
    <font>
      <sz val="12"/>
      <name val="ＭＳ Ｐ明朝"/>
      <family val="1"/>
      <charset val="128"/>
    </font>
    <font>
      <sz val="12"/>
      <name val="ＭＳ Ｐゴシック"/>
      <family val="3"/>
      <charset val="128"/>
    </font>
    <font>
      <sz val="6"/>
      <name val="ＭＳ Ｐ明朝"/>
      <family val="1"/>
      <charset val="128"/>
    </font>
    <font>
      <b/>
      <sz val="18"/>
      <name val="Meiryo UI"/>
      <family val="3"/>
      <charset val="128"/>
    </font>
    <font>
      <sz val="12"/>
      <name val="Meiryo UI"/>
      <family val="3"/>
      <charset val="128"/>
    </font>
    <font>
      <sz val="10"/>
      <name val="Meiryo UI"/>
      <family val="3"/>
      <charset val="128"/>
    </font>
    <font>
      <b/>
      <sz val="24"/>
      <name val="Meiryo UI"/>
      <family val="3"/>
      <charset val="128"/>
    </font>
    <font>
      <sz val="18"/>
      <name val="Meiryo UI"/>
      <family val="3"/>
      <charset val="128"/>
    </font>
    <font>
      <sz val="16"/>
      <name val="Meiryo UI"/>
      <family val="3"/>
      <charset val="128"/>
    </font>
    <font>
      <sz val="11"/>
      <name val="Meiryo UI"/>
      <family val="3"/>
      <charset val="128"/>
    </font>
    <font>
      <b/>
      <sz val="18"/>
      <color indexed="12"/>
      <name val="Meiryo UI"/>
      <family val="3"/>
      <charset val="128"/>
    </font>
    <font>
      <sz val="9"/>
      <name val="Meiryo UI"/>
      <family val="3"/>
      <charset val="128"/>
    </font>
    <font>
      <b/>
      <sz val="12"/>
      <name val="Meiryo UI"/>
      <family val="3"/>
      <charset val="128"/>
    </font>
    <font>
      <sz val="12"/>
      <color indexed="10"/>
      <name val="Meiryo UI"/>
      <family val="3"/>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6">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16">
    <xf numFmtId="179" fontId="0" fillId="0" borderId="0"/>
    <xf numFmtId="20" fontId="1" fillId="0" borderId="0" applyFont="0" applyFill="0" applyBorder="0" applyAlignment="0" applyProtection="0"/>
    <xf numFmtId="14" fontId="1" fillId="0" borderId="0" applyFont="0" applyFill="0" applyBorder="0" applyAlignment="0" applyProtection="0"/>
    <xf numFmtId="178" fontId="1" fillId="0" borderId="0" applyFont="0" applyFill="0" applyBorder="0" applyAlignment="0" applyProtection="0"/>
    <xf numFmtId="180" fontId="1" fillId="0" borderId="0" applyFont="0" applyFill="0" applyBorder="0" applyAlignment="0" applyProtection="0"/>
    <xf numFmtId="177"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76" fontId="1" fillId="2" borderId="0" applyNumberFormat="0" applyFont="0" applyBorder="0" applyAlignment="0">
      <protection locked="0"/>
    </xf>
    <xf numFmtId="49" fontId="1" fillId="0" borderId="0" applyFont="0" applyFill="0" applyBorder="0" applyAlignment="0" applyProtection="0"/>
  </cellStyleXfs>
  <cellXfs count="107">
    <xf numFmtId="179" fontId="0" fillId="0" borderId="0" xfId="0"/>
    <xf numFmtId="179" fontId="3" fillId="3" borderId="0" xfId="0" applyFont="1" applyFill="1"/>
    <xf numFmtId="179" fontId="4" fillId="3" borderId="0" xfId="0" applyFont="1" applyFill="1"/>
    <xf numFmtId="179" fontId="3" fillId="3" borderId="0" xfId="0" applyFont="1" applyFill="1" applyAlignment="1">
      <alignment horizontal="right"/>
    </xf>
    <xf numFmtId="179" fontId="4" fillId="3" borderId="2" xfId="0" applyFont="1" applyFill="1" applyBorder="1"/>
    <xf numFmtId="181" fontId="4" fillId="3" borderId="2" xfId="6" applyFont="1" applyFill="1" applyBorder="1"/>
    <xf numFmtId="181" fontId="4" fillId="3" borderId="0" xfId="6" applyFont="1" applyFill="1"/>
    <xf numFmtId="181" fontId="4" fillId="3" borderId="0" xfId="6" applyFont="1" applyFill="1" applyBorder="1"/>
    <xf numFmtId="181" fontId="5" fillId="3" borderId="0" xfId="6" applyFont="1" applyFill="1" applyBorder="1"/>
    <xf numFmtId="181" fontId="5" fillId="3" borderId="3" xfId="6" applyFont="1" applyFill="1" applyBorder="1"/>
    <xf numFmtId="181" fontId="4" fillId="3" borderId="3" xfId="6" applyFont="1" applyFill="1" applyBorder="1"/>
    <xf numFmtId="179" fontId="4" fillId="3" borderId="0" xfId="14" applyNumberFormat="1" applyFont="1" applyFill="1">
      <protection locked="0"/>
    </xf>
    <xf numFmtId="179" fontId="4" fillId="3" borderId="0" xfId="14" applyNumberFormat="1" applyFont="1" applyFill="1" applyAlignment="1">
      <alignment horizontal="right"/>
      <protection locked="0"/>
    </xf>
    <xf numFmtId="179" fontId="4" fillId="3" borderId="2" xfId="14" applyNumberFormat="1" applyFont="1" applyFill="1" applyBorder="1">
      <protection locked="0"/>
    </xf>
    <xf numFmtId="179" fontId="4" fillId="3" borderId="1" xfId="0" applyFont="1" applyFill="1" applyBorder="1"/>
    <xf numFmtId="179" fontId="4" fillId="3" borderId="0" xfId="0" applyFont="1" applyFill="1" applyBorder="1"/>
    <xf numFmtId="179" fontId="5" fillId="3" borderId="0" xfId="0" applyFont="1" applyFill="1" applyAlignment="1">
      <alignment horizontal="right" vertical="center"/>
    </xf>
    <xf numFmtId="179" fontId="5" fillId="3" borderId="0" xfId="0" applyFont="1" applyFill="1"/>
    <xf numFmtId="179" fontId="4" fillId="0" borderId="0" xfId="0" applyFont="1" applyFill="1" applyAlignment="1">
      <alignment horizontal="centerContinuous"/>
    </xf>
    <xf numFmtId="179" fontId="4" fillId="0" borderId="0" xfId="0" applyFont="1" applyFill="1"/>
    <xf numFmtId="179" fontId="6" fillId="0" borderId="0" xfId="0" applyFont="1" applyFill="1" applyAlignment="1">
      <alignment horizontal="center"/>
    </xf>
    <xf numFmtId="179" fontId="7" fillId="0" borderId="0" xfId="0" applyFont="1" applyFill="1" applyAlignment="1">
      <alignment horizontal="centerContinuous"/>
    </xf>
    <xf numFmtId="179" fontId="7" fillId="0" borderId="0" xfId="0" applyFont="1" applyFill="1"/>
    <xf numFmtId="179" fontId="7" fillId="0" borderId="0" xfId="0" applyFont="1" applyFill="1" applyAlignment="1"/>
    <xf numFmtId="189" fontId="7" fillId="0" borderId="0" xfId="0" applyNumberFormat="1" applyFont="1" applyFill="1"/>
    <xf numFmtId="179" fontId="7" fillId="0" borderId="0" xfId="0" applyFont="1" applyFill="1" applyAlignment="1">
      <alignment horizontal="center"/>
    </xf>
    <xf numFmtId="189" fontId="8" fillId="0" borderId="0" xfId="0" applyNumberFormat="1" applyFont="1" applyFill="1"/>
    <xf numFmtId="49" fontId="8" fillId="0" borderId="0" xfId="0" applyNumberFormat="1" applyFont="1" applyFill="1" applyAlignment="1">
      <alignment horizontal="left" indent="2"/>
    </xf>
    <xf numFmtId="49" fontId="7" fillId="0" borderId="0" xfId="14" applyNumberFormat="1" applyFont="1" applyFill="1" applyAlignment="1">
      <alignment horizontal="center"/>
      <protection locked="0"/>
    </xf>
    <xf numFmtId="180" fontId="4" fillId="3" borderId="0" xfId="4" applyFont="1" applyFill="1"/>
    <xf numFmtId="180" fontId="4" fillId="3" borderId="0" xfId="4" applyFont="1" applyFill="1" applyAlignment="1">
      <alignment horizontal="right"/>
    </xf>
    <xf numFmtId="179" fontId="4" fillId="3" borderId="0" xfId="14" applyNumberFormat="1" applyFont="1" applyFill="1" applyBorder="1">
      <protection locked="0"/>
    </xf>
    <xf numFmtId="180" fontId="4" fillId="3" borderId="1" xfId="4" applyFont="1" applyFill="1" applyBorder="1"/>
    <xf numFmtId="180" fontId="4" fillId="3" borderId="1" xfId="4" applyFont="1" applyFill="1" applyBorder="1" applyAlignment="1">
      <alignment horizontal="right"/>
    </xf>
    <xf numFmtId="188" fontId="4" fillId="3" borderId="0" xfId="13" applyFont="1" applyFill="1"/>
    <xf numFmtId="187" fontId="4" fillId="3" borderId="0" xfId="12" applyFont="1" applyFill="1"/>
    <xf numFmtId="187" fontId="4" fillId="3" borderId="1" xfId="12" applyFont="1" applyFill="1" applyBorder="1"/>
    <xf numFmtId="187" fontId="4" fillId="3" borderId="1" xfId="12" applyFont="1" applyFill="1" applyBorder="1" applyProtection="1">
      <protection locked="0"/>
    </xf>
    <xf numFmtId="179" fontId="5" fillId="3" borderId="0" xfId="0" applyFont="1" applyFill="1" applyAlignment="1">
      <alignment vertical="center"/>
    </xf>
    <xf numFmtId="179" fontId="4" fillId="3" borderId="2" xfId="0" applyFont="1" applyFill="1" applyBorder="1" applyAlignment="1">
      <alignment horizontal="right"/>
    </xf>
    <xf numFmtId="181" fontId="4" fillId="3" borderId="2" xfId="6" applyFont="1" applyFill="1" applyBorder="1" applyAlignment="1">
      <alignment horizontal="right"/>
    </xf>
    <xf numFmtId="181" fontId="4" fillId="3" borderId="0" xfId="6" applyFont="1" applyFill="1" applyAlignment="1">
      <alignment horizontal="right"/>
    </xf>
    <xf numFmtId="179" fontId="4" fillId="3" borderId="1" xfId="14" applyNumberFormat="1" applyFont="1" applyFill="1" applyBorder="1">
      <protection locked="0"/>
    </xf>
    <xf numFmtId="179" fontId="4" fillId="3" borderId="5" xfId="0" applyFont="1" applyFill="1" applyBorder="1"/>
    <xf numFmtId="179" fontId="5" fillId="3" borderId="0" xfId="0" applyFont="1" applyFill="1" applyAlignment="1">
      <alignment horizontal="right"/>
    </xf>
    <xf numFmtId="179" fontId="4" fillId="3" borderId="3" xfId="0" applyFont="1" applyFill="1" applyBorder="1"/>
    <xf numFmtId="179" fontId="4" fillId="3" borderId="4" xfId="0" applyFont="1" applyFill="1" applyBorder="1"/>
    <xf numFmtId="179" fontId="10" fillId="3" borderId="0" xfId="0" applyFont="1" applyFill="1" applyAlignment="1">
      <alignment horizontal="right"/>
    </xf>
    <xf numFmtId="181" fontId="5" fillId="3" borderId="2" xfId="6" applyFont="1" applyFill="1" applyBorder="1"/>
    <xf numFmtId="181" fontId="5" fillId="3" borderId="0" xfId="6" applyFont="1" applyFill="1"/>
    <xf numFmtId="180" fontId="4" fillId="3" borderId="2" xfId="4" applyFont="1" applyFill="1" applyBorder="1"/>
    <xf numFmtId="180" fontId="4" fillId="3" borderId="2" xfId="4" applyFont="1" applyFill="1" applyBorder="1" applyAlignment="1">
      <alignment horizontal="right"/>
    </xf>
    <xf numFmtId="179" fontId="4" fillId="3" borderId="2" xfId="14" applyNumberFormat="1" applyFont="1" applyFill="1" applyBorder="1" applyAlignment="1">
      <alignment horizontal="right"/>
      <protection locked="0"/>
    </xf>
    <xf numFmtId="179" fontId="11" fillId="3" borderId="0" xfId="0" applyFont="1" applyFill="1" applyAlignment="1">
      <alignment horizontal="right"/>
    </xf>
    <xf numFmtId="179" fontId="11" fillId="3" borderId="0" xfId="0" applyFont="1" applyFill="1" applyAlignment="1"/>
    <xf numFmtId="179" fontId="11" fillId="3" borderId="0" xfId="0" applyFont="1" applyFill="1"/>
    <xf numFmtId="179" fontId="11" fillId="3" borderId="0" xfId="0" applyFont="1" applyFill="1" applyBorder="1"/>
    <xf numFmtId="181" fontId="11" fillId="3" borderId="2" xfId="6" applyFont="1" applyFill="1" applyBorder="1"/>
    <xf numFmtId="179" fontId="11" fillId="3" borderId="2" xfId="0" applyFont="1" applyFill="1" applyBorder="1"/>
    <xf numFmtId="179" fontId="11" fillId="3" borderId="1" xfId="0" applyFont="1" applyFill="1" applyBorder="1"/>
    <xf numFmtId="180" fontId="11" fillId="3" borderId="1" xfId="4" applyFont="1" applyFill="1" applyBorder="1"/>
    <xf numFmtId="180" fontId="4" fillId="3" borderId="0" xfId="4" applyFont="1" applyFill="1" applyAlignment="1"/>
    <xf numFmtId="180" fontId="11" fillId="3" borderId="0" xfId="4" applyFont="1" applyFill="1"/>
    <xf numFmtId="187" fontId="11" fillId="3" borderId="0" xfId="12" applyFont="1" applyFill="1"/>
    <xf numFmtId="187" fontId="4" fillId="3" borderId="0" xfId="12" applyNumberFormat="1" applyFont="1" applyFill="1"/>
    <xf numFmtId="180" fontId="9" fillId="3" borderId="0" xfId="4" applyFont="1" applyFill="1"/>
    <xf numFmtId="187" fontId="4" fillId="3" borderId="0" xfId="12" applyFont="1" applyFill="1" applyAlignment="1">
      <alignment horizontal="right"/>
    </xf>
    <xf numFmtId="179" fontId="4" fillId="3" borderId="0" xfId="0" applyNumberFormat="1" applyFont="1" applyFill="1"/>
    <xf numFmtId="179" fontId="4" fillId="3" borderId="0" xfId="12" applyNumberFormat="1" applyFont="1" applyFill="1" applyAlignment="1">
      <alignment horizontal="right"/>
    </xf>
    <xf numFmtId="188" fontId="4" fillId="3" borderId="0" xfId="12" applyNumberFormat="1" applyFont="1" applyFill="1"/>
    <xf numFmtId="179" fontId="4" fillId="3" borderId="0" xfId="0" applyNumberFormat="1" applyFont="1" applyFill="1" applyBorder="1"/>
    <xf numFmtId="188" fontId="4" fillId="3" borderId="0" xfId="0" applyNumberFormat="1" applyFont="1" applyFill="1" applyBorder="1"/>
    <xf numFmtId="179" fontId="13" fillId="3" borderId="0" xfId="0" applyFont="1" applyFill="1"/>
    <xf numFmtId="179" fontId="5" fillId="3" borderId="0" xfId="0" applyFont="1" applyFill="1" applyBorder="1" applyAlignment="1">
      <alignment horizontal="left" vertical="center"/>
    </xf>
    <xf numFmtId="179" fontId="5" fillId="0" borderId="0" xfId="0" applyFont="1" applyFill="1"/>
    <xf numFmtId="179" fontId="5" fillId="0" borderId="0" xfId="0" applyFont="1" applyFill="1" applyBorder="1" applyAlignment="1"/>
    <xf numFmtId="181" fontId="9" fillId="3" borderId="3" xfId="6" applyFont="1" applyFill="1" applyBorder="1" applyAlignment="1">
      <alignment horizontal="left"/>
    </xf>
    <xf numFmtId="181" fontId="4" fillId="0" borderId="2" xfId="6" applyFont="1" applyFill="1" applyBorder="1"/>
    <xf numFmtId="179" fontId="4" fillId="0" borderId="0" xfId="14" applyNumberFormat="1" applyFont="1" applyFill="1">
      <protection locked="0"/>
    </xf>
    <xf numFmtId="179" fontId="4" fillId="0" borderId="2" xfId="14" applyNumberFormat="1" applyFont="1" applyFill="1" applyBorder="1">
      <protection locked="0"/>
    </xf>
    <xf numFmtId="180" fontId="4" fillId="0" borderId="0" xfId="4" applyFont="1" applyFill="1" applyAlignment="1">
      <alignment horizontal="right"/>
    </xf>
    <xf numFmtId="179" fontId="4" fillId="0" borderId="2" xfId="0" applyFont="1" applyFill="1" applyBorder="1"/>
    <xf numFmtId="179" fontId="4" fillId="0" borderId="0" xfId="14" applyNumberFormat="1" applyFont="1" applyFill="1" applyBorder="1">
      <protection locked="0"/>
    </xf>
    <xf numFmtId="179" fontId="4" fillId="0" borderId="0" xfId="0" applyFont="1" applyFill="1" applyBorder="1"/>
    <xf numFmtId="180" fontId="4" fillId="0" borderId="1" xfId="4" applyFont="1" applyFill="1" applyBorder="1" applyAlignment="1">
      <alignment horizontal="right"/>
    </xf>
    <xf numFmtId="187" fontId="4" fillId="0" borderId="0" xfId="12" applyFont="1" applyFill="1"/>
    <xf numFmtId="187" fontId="4" fillId="0" borderId="1" xfId="12" applyFont="1" applyFill="1" applyBorder="1" applyProtection="1">
      <protection locked="0"/>
    </xf>
    <xf numFmtId="179" fontId="4" fillId="0" borderId="1" xfId="0" applyFont="1" applyFill="1" applyBorder="1"/>
    <xf numFmtId="180" fontId="4" fillId="0" borderId="2" xfId="4" applyFont="1" applyFill="1" applyBorder="1"/>
    <xf numFmtId="179" fontId="4" fillId="0" borderId="1" xfId="14" applyNumberFormat="1" applyFont="1" applyFill="1" applyBorder="1">
      <protection locked="0"/>
    </xf>
    <xf numFmtId="179" fontId="4" fillId="0" borderId="0" xfId="14" applyNumberFormat="1" applyFont="1" applyFill="1" applyAlignment="1">
      <alignment horizontal="right"/>
      <protection locked="0"/>
    </xf>
    <xf numFmtId="180" fontId="4" fillId="0" borderId="2" xfId="4" applyFont="1" applyFill="1" applyBorder="1" applyAlignment="1">
      <alignment horizontal="right"/>
    </xf>
    <xf numFmtId="180" fontId="4" fillId="0" borderId="1" xfId="4" applyFont="1" applyFill="1" applyBorder="1"/>
    <xf numFmtId="180" fontId="4" fillId="0" borderId="0" xfId="4" applyFont="1" applyFill="1"/>
    <xf numFmtId="187" fontId="4" fillId="0" borderId="0" xfId="12" applyNumberFormat="1" applyFont="1" applyFill="1"/>
    <xf numFmtId="187" fontId="4" fillId="0" borderId="0" xfId="12" applyFont="1" applyFill="1" applyAlignment="1">
      <alignment horizontal="right"/>
    </xf>
    <xf numFmtId="179" fontId="4" fillId="0" borderId="0" xfId="12" applyNumberFormat="1" applyFont="1" applyFill="1" applyAlignment="1">
      <alignment horizontal="right"/>
    </xf>
    <xf numFmtId="179" fontId="4" fillId="0" borderId="0" xfId="0" applyNumberFormat="1" applyFont="1" applyFill="1" applyBorder="1"/>
    <xf numFmtId="179" fontId="13" fillId="0" borderId="0" xfId="0" applyFont="1" applyFill="1"/>
    <xf numFmtId="188" fontId="4" fillId="0" borderId="0" xfId="13" applyFont="1" applyFill="1"/>
    <xf numFmtId="179" fontId="5" fillId="0" borderId="0" xfId="0" applyFont="1" applyAlignment="1">
      <alignment vertical="top"/>
    </xf>
    <xf numFmtId="179" fontId="9" fillId="0" borderId="0" xfId="0" applyFont="1" applyFill="1" applyAlignment="1">
      <alignment horizontal="left" vertical="center"/>
    </xf>
    <xf numFmtId="179" fontId="4" fillId="0" borderId="0" xfId="0" applyFont="1" applyFill="1" applyAlignment="1">
      <alignment horizontal="left" vertical="center"/>
    </xf>
    <xf numFmtId="179" fontId="4" fillId="3" borderId="0" xfId="0" applyFont="1" applyFill="1" applyBorder="1" applyAlignment="1">
      <alignment horizontal="left" wrapText="1"/>
    </xf>
    <xf numFmtId="179" fontId="4" fillId="3" borderId="3" xfId="0" applyFont="1" applyFill="1" applyBorder="1" applyAlignment="1">
      <alignment horizontal="left" wrapText="1"/>
    </xf>
    <xf numFmtId="179" fontId="4" fillId="3" borderId="0" xfId="0" applyFont="1" applyFill="1" applyAlignment="1">
      <alignment horizontal="left" wrapText="1"/>
    </xf>
    <xf numFmtId="179" fontId="5" fillId="3" borderId="0" xfId="0" applyFont="1" applyFill="1" applyBorder="1" applyAlignment="1">
      <alignment horizontal="left" vertical="center"/>
    </xf>
  </cellXfs>
  <cellStyles count="16">
    <cellStyle name="H:MM" xfId="1" xr:uid="{00000000-0005-0000-0000-000000000000}"/>
    <cellStyle name="YYYY/M/D" xfId="2" xr:uid="{00000000-0005-0000-0000-000001000000}"/>
    <cellStyle name="YYYY/MM/DD" xfId="3" xr:uid="{00000000-0005-0000-0000-000002000000}"/>
    <cellStyle name="ﾊﾟｰｾﾝﾄ1桁" xfId="4" xr:uid="{00000000-0005-0000-0000-000003000000}"/>
    <cellStyle name="ﾊﾟｰｾﾝﾄ2桁" xfId="5" xr:uid="{00000000-0005-0000-0000-000004000000}"/>
    <cellStyle name="区切無し" xfId="6" xr:uid="{00000000-0005-0000-0000-000005000000}"/>
    <cellStyle name="差異" xfId="7" xr:uid="{00000000-0005-0000-0000-000006000000}"/>
    <cellStyle name="差異ﾊﾟｰｾﾝﾄ1桁" xfId="8" xr:uid="{00000000-0005-0000-0000-000007000000}"/>
    <cellStyle name="差異ﾊﾟｰｾﾝﾄ2桁" xfId="9" xr:uid="{00000000-0005-0000-0000-000008000000}"/>
    <cellStyle name="差異小数1桁" xfId="10" xr:uid="{00000000-0005-0000-0000-000009000000}"/>
    <cellStyle name="差異小数2桁" xfId="11" xr:uid="{00000000-0005-0000-0000-00000A000000}"/>
    <cellStyle name="小数１桁" xfId="12" xr:uid="{00000000-0005-0000-0000-00000B000000}"/>
    <cellStyle name="小数２桁" xfId="13" xr:uid="{00000000-0005-0000-0000-00000C000000}"/>
    <cellStyle name="入力欄" xfId="14" xr:uid="{00000000-0005-0000-0000-00000D000000}"/>
    <cellStyle name="標準" xfId="0" builtinId="0"/>
    <cellStyle name="文字列" xfId="15" xr:uid="{00000000-0005-0000-0000-00000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AAAA"/>
      <rgbColor rgb="00FFD0CE"/>
      <rgbColor rgb="00FFDDC1"/>
      <rgbColor rgb="00F8FAAF"/>
      <rgbColor rgb="00DEFBAE"/>
      <rgbColor rgb="00AFF7FA"/>
      <rgbColor rgb="00D1CCFD"/>
      <rgbColor rgb="00FCCFFA"/>
      <rgbColor rgb="008080FF"/>
      <rgbColor rgb="00F1C9E4"/>
      <rgbColor rgb="00FFFFC0"/>
      <rgbColor rgb="00CCEEEE"/>
      <rgbColor rgb="00F7DBFF"/>
      <rgbColor rgb="00FF8080"/>
      <rgbColor rgb="00CEEFFF"/>
      <rgbColor rgb="00C0C0FF"/>
      <rgbColor rgb="00FE362C"/>
      <rgbColor rgb="00FF00FF"/>
      <rgbColor rgb="00FFFF00"/>
      <rgbColor rgb="0000FFFF"/>
      <rgbColor rgb="00F5ECAB"/>
      <rgbColor rgb="00FFC8C8"/>
      <rgbColor rgb="00B9FFFF"/>
      <rgbColor rgb="0049ED4E"/>
      <rgbColor rgb="0000CCFF"/>
      <rgbColor rgb="0069FFFF"/>
      <rgbColor rgb="00CCFFCC"/>
      <rgbColor rgb="00FFFF99"/>
      <rgbColor rgb="00A6CAF0"/>
      <rgbColor rgb="00CC99CC"/>
      <rgbColor rgb="00CC99FF"/>
      <rgbColor rgb="00E3E3E3"/>
      <rgbColor rgb="00D5DBFF"/>
      <rgbColor rgb="00EDD5FF"/>
      <rgbColor rgb="00FFD5FD"/>
      <rgbColor rgb="00FFD5EA"/>
      <rgbColor rgb="00FFD5D7"/>
      <rgbColor rgb="00FBD9D9"/>
      <rgbColor rgb="00F7F7DD"/>
      <rgbColor rgb="00DCF5F8"/>
      <rgbColor rgb="00FF8380"/>
      <rgbColor rgb="00FFBC80"/>
      <rgbColor rgb="00FCFF80"/>
      <rgbColor rgb="00D2FF80"/>
      <rgbColor rgb="008FFF80"/>
      <rgbColor rgb="0080FFD6"/>
      <rgbColor rgb="0080F9FF"/>
      <rgbColor rgb="0080D9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1924050</xdr:colOff>
      <xdr:row>0</xdr:row>
      <xdr:rowOff>0</xdr:rowOff>
    </xdr:from>
    <xdr:to>
      <xdr:col>0</xdr:col>
      <xdr:colOff>4086225</xdr:colOff>
      <xdr:row>1</xdr:row>
      <xdr:rowOff>238125</xdr:rowOff>
    </xdr:to>
    <xdr:pic>
      <xdr:nvPicPr>
        <xdr:cNvPr id="1613" name="図 2" descr="CANON_bk_50mm_2014.png">
          <a:extLst>
            <a:ext uri="{FF2B5EF4-FFF2-40B4-BE49-F238E27FC236}">
              <a16:creationId xmlns:a16="http://schemas.microsoft.com/office/drawing/2014/main" id="{00000000-0008-0000-0000-00004D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0"/>
          <a:ext cx="2162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238125</xdr:colOff>
      <xdr:row>0</xdr:row>
      <xdr:rowOff>57150</xdr:rowOff>
    </xdr:from>
    <xdr:to>
      <xdr:col>11</xdr:col>
      <xdr:colOff>885825</xdr:colOff>
      <xdr:row>0</xdr:row>
      <xdr:rowOff>276225</xdr:rowOff>
    </xdr:to>
    <xdr:pic>
      <xdr:nvPicPr>
        <xdr:cNvPr id="2" name="図 2" descr="CANON_bk_15mm_2014.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6225" y="57150"/>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257175</xdr:colOff>
      <xdr:row>0</xdr:row>
      <xdr:rowOff>38100</xdr:rowOff>
    </xdr:from>
    <xdr:to>
      <xdr:col>11</xdr:col>
      <xdr:colOff>904875</xdr:colOff>
      <xdr:row>0</xdr:row>
      <xdr:rowOff>257175</xdr:rowOff>
    </xdr:to>
    <xdr:pic>
      <xdr:nvPicPr>
        <xdr:cNvPr id="2" name="図 2" descr="CANON_bk_15mm_2014.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0" y="38100"/>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133350</xdr:colOff>
      <xdr:row>0</xdr:row>
      <xdr:rowOff>66675</xdr:rowOff>
    </xdr:from>
    <xdr:to>
      <xdr:col>12</xdr:col>
      <xdr:colOff>781050</xdr:colOff>
      <xdr:row>0</xdr:row>
      <xdr:rowOff>285750</xdr:rowOff>
    </xdr:to>
    <xdr:pic>
      <xdr:nvPicPr>
        <xdr:cNvPr id="2" name="図 2" descr="CANON_bk_15mm_2014.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1450" y="66675"/>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14</xdr:col>
      <xdr:colOff>257175</xdr:colOff>
      <xdr:row>0</xdr:row>
      <xdr:rowOff>114300</xdr:rowOff>
    </xdr:from>
    <xdr:ext cx="647700" cy="219075"/>
    <xdr:pic>
      <xdr:nvPicPr>
        <xdr:cNvPr id="2" name="図 2" descr="CANON_bk_15mm_2014.png">
          <a:extLst>
            <a:ext uri="{FF2B5EF4-FFF2-40B4-BE49-F238E27FC236}">
              <a16:creationId xmlns:a16="http://schemas.microsoft.com/office/drawing/2014/main" id="{41001684-2966-4777-8F8E-B0C6253A73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87575" y="114300"/>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209550</xdr:colOff>
      <xdr:row>0</xdr:row>
      <xdr:rowOff>0</xdr:rowOff>
    </xdr:from>
    <xdr:to>
      <xdr:col>11</xdr:col>
      <xdr:colOff>857250</xdr:colOff>
      <xdr:row>0</xdr:row>
      <xdr:rowOff>219075</xdr:rowOff>
    </xdr:to>
    <xdr:pic>
      <xdr:nvPicPr>
        <xdr:cNvPr id="21069" name="図 2" descr="CANON_bk_15mm_2014.png">
          <a:extLst>
            <a:ext uri="{FF2B5EF4-FFF2-40B4-BE49-F238E27FC236}">
              <a16:creationId xmlns:a16="http://schemas.microsoft.com/office/drawing/2014/main" id="{00000000-0008-0000-0500-00004D5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5550" y="0"/>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14</xdr:col>
      <xdr:colOff>152400</xdr:colOff>
      <xdr:row>0</xdr:row>
      <xdr:rowOff>47625</xdr:rowOff>
    </xdr:from>
    <xdr:ext cx="647700" cy="219075"/>
    <xdr:pic>
      <xdr:nvPicPr>
        <xdr:cNvPr id="2" name="図 2" descr="CANON_bk_15mm_2014.png">
          <a:extLst>
            <a:ext uri="{FF2B5EF4-FFF2-40B4-BE49-F238E27FC236}">
              <a16:creationId xmlns:a16="http://schemas.microsoft.com/office/drawing/2014/main" id="{FC9C6E15-AA3F-4098-9456-9CFB1F6F44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93043" y="47625"/>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12</xdr:col>
      <xdr:colOff>290792</xdr:colOff>
      <xdr:row>0</xdr:row>
      <xdr:rowOff>54349</xdr:rowOff>
    </xdr:from>
    <xdr:to>
      <xdr:col>12</xdr:col>
      <xdr:colOff>938492</xdr:colOff>
      <xdr:row>0</xdr:row>
      <xdr:rowOff>273424</xdr:rowOff>
    </xdr:to>
    <xdr:pic>
      <xdr:nvPicPr>
        <xdr:cNvPr id="2" name="図 2" descr="CANON_bk_15mm_2014.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2086" y="54349"/>
          <a:ext cx="647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1"/>
  <sheetViews>
    <sheetView showGridLines="0" tabSelected="1" topLeftCell="A8" zoomScaleNormal="100" zoomScaleSheetLayoutView="100" workbookViewId="0">
      <selection activeCell="E15" sqref="E15"/>
    </sheetView>
  </sheetViews>
  <sheetFormatPr defaultColWidth="10.75" defaultRowHeight="16.5" x14ac:dyDescent="0.25"/>
  <cols>
    <col min="1" max="1" width="79.75" style="19" customWidth="1"/>
    <col min="2" max="2" width="5.125" style="19" customWidth="1"/>
    <col min="3" max="16384" width="10.75" style="19"/>
  </cols>
  <sheetData>
    <row r="1" spans="1:2" ht="38.25" customHeight="1" x14ac:dyDescent="0.25">
      <c r="A1" s="18"/>
      <c r="B1" s="18"/>
    </row>
    <row r="2" spans="1:2" ht="30.75" customHeight="1" x14ac:dyDescent="0.25"/>
    <row r="3" spans="1:2" ht="33" x14ac:dyDescent="0.5">
      <c r="A3" s="20" t="s">
        <v>134</v>
      </c>
      <c r="B3" s="18"/>
    </row>
    <row r="6" spans="1:2" ht="24" x14ac:dyDescent="0.35">
      <c r="A6" s="21"/>
      <c r="B6" s="21"/>
    </row>
    <row r="7" spans="1:2" ht="24" x14ac:dyDescent="0.35">
      <c r="A7" s="22"/>
      <c r="B7" s="23" t="s">
        <v>0</v>
      </c>
    </row>
    <row r="8" spans="1:2" ht="24" x14ac:dyDescent="0.35">
      <c r="A8" s="24" t="s">
        <v>145</v>
      </c>
      <c r="B8" s="25">
        <v>1</v>
      </c>
    </row>
    <row r="9" spans="1:2" ht="24" x14ac:dyDescent="0.35">
      <c r="A9" s="24" t="s">
        <v>106</v>
      </c>
      <c r="B9" s="25">
        <v>2</v>
      </c>
    </row>
    <row r="10" spans="1:2" ht="24" x14ac:dyDescent="0.35">
      <c r="A10" s="24" t="s">
        <v>149</v>
      </c>
      <c r="B10" s="25">
        <v>3</v>
      </c>
    </row>
    <row r="11" spans="1:2" ht="24" x14ac:dyDescent="0.35">
      <c r="A11" s="24" t="s">
        <v>146</v>
      </c>
      <c r="B11" s="25">
        <v>4</v>
      </c>
    </row>
    <row r="12" spans="1:2" ht="24" x14ac:dyDescent="0.35">
      <c r="A12" s="24" t="s">
        <v>159</v>
      </c>
      <c r="B12" s="25">
        <v>5</v>
      </c>
    </row>
    <row r="13" spans="1:2" ht="24" x14ac:dyDescent="0.35">
      <c r="A13" s="24" t="s">
        <v>160</v>
      </c>
      <c r="B13" s="25">
        <v>6</v>
      </c>
    </row>
    <row r="14" spans="1:2" ht="24" x14ac:dyDescent="0.35">
      <c r="A14" s="24" t="s">
        <v>161</v>
      </c>
      <c r="B14" s="25">
        <v>7</v>
      </c>
    </row>
    <row r="15" spans="1:2" ht="24" x14ac:dyDescent="0.35">
      <c r="A15" s="24" t="s">
        <v>162</v>
      </c>
      <c r="B15" s="25">
        <v>7</v>
      </c>
    </row>
    <row r="16" spans="1:2" ht="24" x14ac:dyDescent="0.35">
      <c r="A16" s="24" t="s">
        <v>163</v>
      </c>
      <c r="B16" s="25">
        <v>7</v>
      </c>
    </row>
    <row r="17" spans="1:2" ht="24" x14ac:dyDescent="0.35">
      <c r="A17" s="24" t="s">
        <v>164</v>
      </c>
      <c r="B17" s="25">
        <v>7</v>
      </c>
    </row>
    <row r="18" spans="1:2" ht="24" x14ac:dyDescent="0.35">
      <c r="A18" s="26"/>
      <c r="B18" s="25"/>
    </row>
    <row r="19" spans="1:2" ht="24" x14ac:dyDescent="0.35">
      <c r="A19" s="26"/>
      <c r="B19" s="25"/>
    </row>
    <row r="20" spans="1:2" ht="24" x14ac:dyDescent="0.35">
      <c r="A20" s="26"/>
      <c r="B20" s="25"/>
    </row>
    <row r="21" spans="1:2" ht="24" x14ac:dyDescent="0.35">
      <c r="A21" s="24"/>
      <c r="B21" s="25"/>
    </row>
    <row r="22" spans="1:2" ht="24" x14ac:dyDescent="0.35">
      <c r="A22" s="27"/>
      <c r="B22" s="25"/>
    </row>
    <row r="23" spans="1:2" ht="24" x14ac:dyDescent="0.35">
      <c r="A23" s="28" t="s">
        <v>191</v>
      </c>
      <c r="B23" s="22"/>
    </row>
    <row r="24" spans="1:2" ht="24" x14ac:dyDescent="0.35">
      <c r="A24" s="28"/>
      <c r="B24" s="22"/>
    </row>
    <row r="25" spans="1:2" x14ac:dyDescent="0.25">
      <c r="A25" s="101"/>
      <c r="B25" s="101"/>
    </row>
    <row r="26" spans="1:2" x14ac:dyDescent="0.25">
      <c r="A26" s="101"/>
      <c r="B26" s="101"/>
    </row>
    <row r="27" spans="1:2" x14ac:dyDescent="0.25">
      <c r="A27" s="101"/>
      <c r="B27" s="101"/>
    </row>
    <row r="28" spans="1:2" x14ac:dyDescent="0.25">
      <c r="A28" s="101"/>
      <c r="B28" s="101"/>
    </row>
    <row r="29" spans="1:2" x14ac:dyDescent="0.25">
      <c r="A29" s="101"/>
      <c r="B29" s="101"/>
    </row>
    <row r="30" spans="1:2" x14ac:dyDescent="0.25">
      <c r="A30" s="102"/>
      <c r="B30" s="102"/>
    </row>
    <row r="31" spans="1:2" x14ac:dyDescent="0.25">
      <c r="A31" s="101" t="s">
        <v>2</v>
      </c>
      <c r="B31" s="101"/>
    </row>
  </sheetData>
  <mergeCells count="7">
    <mergeCell ref="A31:B31"/>
    <mergeCell ref="A29:B29"/>
    <mergeCell ref="A25:B25"/>
    <mergeCell ref="A26:B26"/>
    <mergeCell ref="A27:B27"/>
    <mergeCell ref="A28:B28"/>
    <mergeCell ref="A30:B30"/>
  </mergeCells>
  <phoneticPr fontId="2"/>
  <printOptions horizontalCentered="1"/>
  <pageMargins left="0.43307086614173229" right="0.47244094488188981" top="0.39370078740157483" bottom="0.19685039370078741" header="0.31496062992125984" footer="0.19685039370078741"/>
  <pageSetup paperSize="9" scale="82" orientation="landscape" blackAndWhite="1" verticalDpi="300" r:id="rId1"/>
  <headerFooter differentFirst="1" scaleWithDoc="0" alignWithMargins="0">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S33"/>
  <sheetViews>
    <sheetView showGridLines="0" view="pageBreakPreview" zoomScale="70" zoomScaleNormal="100" zoomScaleSheetLayoutView="70" workbookViewId="0">
      <pane xSplit="2" ySplit="2" topLeftCell="C15" activePane="bottomRight" state="frozenSplit"/>
      <selection activeCell="E13" sqref="E13"/>
      <selection pane="topRight" activeCell="E13" sqref="E13"/>
      <selection pane="bottomLeft" activeCell="E13" sqref="E13"/>
      <selection pane="bottomRight" activeCell="E13" sqref="E13"/>
    </sheetView>
  </sheetViews>
  <sheetFormatPr defaultColWidth="10.75" defaultRowHeight="16.149999999999999" customHeight="1" x14ac:dyDescent="0.25"/>
  <cols>
    <col min="1" max="1" width="3.375" style="2" customWidth="1"/>
    <col min="2" max="2" width="29" style="2" customWidth="1"/>
    <col min="3" max="4" width="13.125" style="2" customWidth="1"/>
    <col min="5" max="10" width="13.125" style="2" bestFit="1" customWidth="1"/>
    <col min="11" max="12" width="13.125" style="2" customWidth="1"/>
    <col min="13" max="16384" width="10.75" style="2"/>
  </cols>
  <sheetData>
    <row r="1" spans="1:12" ht="30" customHeight="1" x14ac:dyDescent="0.35">
      <c r="A1" s="1" t="s">
        <v>69</v>
      </c>
      <c r="C1" s="3"/>
      <c r="D1" s="3"/>
    </row>
    <row r="2" spans="1:12" s="6" customFormat="1" ht="16.5" x14ac:dyDescent="0.25">
      <c r="A2" s="4"/>
      <c r="B2" s="5"/>
      <c r="C2" s="5">
        <v>2014</v>
      </c>
      <c r="D2" s="5">
        <v>2015</v>
      </c>
      <c r="E2" s="5">
        <v>2016</v>
      </c>
      <c r="F2" s="5">
        <v>2017</v>
      </c>
      <c r="G2" s="5">
        <v>2018</v>
      </c>
      <c r="H2" s="5">
        <v>2019</v>
      </c>
      <c r="I2" s="5">
        <v>2020</v>
      </c>
      <c r="J2" s="5">
        <v>2021</v>
      </c>
      <c r="K2" s="5">
        <v>2022</v>
      </c>
      <c r="L2" s="5">
        <v>2023</v>
      </c>
    </row>
    <row r="3" spans="1:12" s="6" customFormat="1" ht="16.149999999999999" customHeight="1" x14ac:dyDescent="0.25">
      <c r="A3" s="8" t="s">
        <v>3</v>
      </c>
      <c r="B3" s="7"/>
      <c r="C3" s="7"/>
      <c r="D3" s="7"/>
      <c r="E3" s="7"/>
      <c r="F3" s="7"/>
      <c r="G3" s="7"/>
      <c r="H3" s="7"/>
      <c r="I3" s="7"/>
      <c r="J3" s="7"/>
      <c r="K3" s="7"/>
      <c r="L3" s="7"/>
    </row>
    <row r="4" spans="1:12" ht="16.149999999999999" customHeight="1" x14ac:dyDescent="0.25">
      <c r="A4" s="2" t="s">
        <v>119</v>
      </c>
      <c r="C4" s="11">
        <v>3727252</v>
      </c>
      <c r="D4" s="11">
        <v>3800271</v>
      </c>
      <c r="E4" s="11">
        <v>3401487</v>
      </c>
      <c r="F4" s="11">
        <v>4080015</v>
      </c>
      <c r="G4" s="11">
        <v>3951937</v>
      </c>
      <c r="H4" s="11">
        <v>3593299</v>
      </c>
      <c r="I4" s="11">
        <v>3160243</v>
      </c>
      <c r="J4" s="11">
        <v>3513357</v>
      </c>
      <c r="K4" s="11">
        <v>4031414</v>
      </c>
      <c r="L4" s="78">
        <v>4180972</v>
      </c>
    </row>
    <row r="5" spans="1:12" ht="16.149999999999999" customHeight="1" x14ac:dyDescent="0.25">
      <c r="A5" s="4"/>
      <c r="B5" s="4" t="s">
        <v>5</v>
      </c>
      <c r="C5" s="13">
        <f>1865780+1050</f>
        <v>1866830</v>
      </c>
      <c r="D5" s="13">
        <f>1865887+2288</f>
        <v>1868175</v>
      </c>
      <c r="E5" s="13">
        <f>1727654+1835</f>
        <v>1729489</v>
      </c>
      <c r="F5" s="13">
        <v>2089461</v>
      </c>
      <c r="G5" s="13">
        <v>2116383</v>
      </c>
      <c r="H5" s="13">
        <v>1983266</v>
      </c>
      <c r="I5" s="13">
        <v>1784375</v>
      </c>
      <c r="J5" s="13">
        <v>1885565</v>
      </c>
      <c r="K5" s="13">
        <v>2203612</v>
      </c>
      <c r="L5" s="79">
        <v>2212062</v>
      </c>
    </row>
    <row r="6" spans="1:12" ht="16.149999999999999" customHeight="1" x14ac:dyDescent="0.25">
      <c r="A6" s="2" t="s">
        <v>6</v>
      </c>
      <c r="C6" s="2">
        <f t="shared" ref="C6:F6" si="0">C4-C5</f>
        <v>1860422</v>
      </c>
      <c r="D6" s="2">
        <f t="shared" si="0"/>
        <v>1932096</v>
      </c>
      <c r="E6" s="2">
        <f t="shared" si="0"/>
        <v>1671998</v>
      </c>
      <c r="F6" s="2">
        <f t="shared" si="0"/>
        <v>1990554</v>
      </c>
      <c r="G6" s="2">
        <f>G4-G5</f>
        <v>1835554</v>
      </c>
      <c r="H6" s="2">
        <v>1610033</v>
      </c>
      <c r="I6" s="2">
        <f>I4-I5</f>
        <v>1375868</v>
      </c>
      <c r="J6" s="2">
        <f>J4-J5</f>
        <v>1627792</v>
      </c>
      <c r="K6" s="2">
        <f>K4-K5</f>
        <v>1827802</v>
      </c>
      <c r="L6" s="19">
        <f>L4-L5</f>
        <v>1968910</v>
      </c>
    </row>
    <row r="7" spans="1:12" s="29" customFormat="1" ht="16.149999999999999" customHeight="1" x14ac:dyDescent="0.25">
      <c r="B7" s="29" t="s">
        <v>90</v>
      </c>
      <c r="C7" s="30">
        <f t="shared" ref="C7:K7" si="1">IF(C$4=0,"-  ",C6/C$4)</f>
        <v>0.499</v>
      </c>
      <c r="D7" s="30">
        <f t="shared" si="1"/>
        <v>0.50800000000000001</v>
      </c>
      <c r="E7" s="30">
        <f t="shared" si="1"/>
        <v>0.49199999999999999</v>
      </c>
      <c r="F7" s="30">
        <f t="shared" si="1"/>
        <v>0.48799999999999999</v>
      </c>
      <c r="G7" s="30">
        <f t="shared" si="1"/>
        <v>0.46400000000000002</v>
      </c>
      <c r="H7" s="30">
        <f t="shared" si="1"/>
        <v>0.44800000000000001</v>
      </c>
      <c r="I7" s="30">
        <f t="shared" si="1"/>
        <v>0.435</v>
      </c>
      <c r="J7" s="30">
        <f t="shared" si="1"/>
        <v>0.46300000000000002</v>
      </c>
      <c r="K7" s="30">
        <f t="shared" si="1"/>
        <v>0.45300000000000001</v>
      </c>
      <c r="L7" s="80">
        <f t="shared" ref="L7" si="2">IF(L$4=0,"-  ",L6/L$4)</f>
        <v>0.47099999999999997</v>
      </c>
    </row>
    <row r="8" spans="1:12" ht="16.149999999999999" customHeight="1" x14ac:dyDescent="0.25">
      <c r="A8" s="4"/>
      <c r="B8" s="4" t="s">
        <v>120</v>
      </c>
      <c r="C8" s="13">
        <f>1497983+16689+396</f>
        <v>1515068</v>
      </c>
      <c r="D8" s="13">
        <f>1579174+9064+129</f>
        <v>1588367</v>
      </c>
      <c r="E8" s="13">
        <f>1444967+10606+87</f>
        <v>1455660</v>
      </c>
      <c r="F8" s="13">
        <f>1668949-606</f>
        <v>1668343</v>
      </c>
      <c r="G8" s="13">
        <f>1492602+500</f>
        <v>1493102</v>
      </c>
      <c r="H8" s="13">
        <v>1435613</v>
      </c>
      <c r="I8" s="13">
        <v>1265321</v>
      </c>
      <c r="J8" s="13">
        <v>1345874</v>
      </c>
      <c r="K8" s="13">
        <v>1474403</v>
      </c>
      <c r="L8" s="79">
        <v>1593544</v>
      </c>
    </row>
    <row r="9" spans="1:12" ht="16.149999999999999" customHeight="1" x14ac:dyDescent="0.25">
      <c r="A9" s="2" t="s">
        <v>7</v>
      </c>
      <c r="C9" s="2">
        <f>C6-C8</f>
        <v>345354</v>
      </c>
      <c r="D9" s="2">
        <f t="shared" ref="D9" si="3">D6-D8</f>
        <v>343729</v>
      </c>
      <c r="E9" s="2">
        <f>E6-E8</f>
        <v>216338</v>
      </c>
      <c r="F9" s="2">
        <f t="shared" ref="F9" si="4">F6-F8</f>
        <v>322211</v>
      </c>
      <c r="G9" s="2">
        <f>G6-G8</f>
        <v>342452</v>
      </c>
      <c r="H9" s="2">
        <f t="shared" ref="H9:I9" si="5">H6-H8</f>
        <v>174420</v>
      </c>
      <c r="I9" s="2">
        <f t="shared" si="5"/>
        <v>110547</v>
      </c>
      <c r="J9" s="2">
        <f t="shared" ref="J9:K9" si="6">J6-J8</f>
        <v>281918</v>
      </c>
      <c r="K9" s="2">
        <f t="shared" si="6"/>
        <v>353399</v>
      </c>
      <c r="L9" s="19">
        <f t="shared" ref="L9" si="7">L6-L8</f>
        <v>375366</v>
      </c>
    </row>
    <row r="10" spans="1:12" s="29" customFormat="1" ht="16.149999999999999" customHeight="1" x14ac:dyDescent="0.25">
      <c r="B10" s="29" t="s">
        <v>91</v>
      </c>
      <c r="C10" s="30">
        <f t="shared" ref="C10:I10" si="8">IF(C$4=0,"-  ",C9/C$4)</f>
        <v>9.2999999999999999E-2</v>
      </c>
      <c r="D10" s="30">
        <f t="shared" si="8"/>
        <v>0.09</v>
      </c>
      <c r="E10" s="30">
        <f t="shared" si="8"/>
        <v>6.4000000000000001E-2</v>
      </c>
      <c r="F10" s="30">
        <f t="shared" si="8"/>
        <v>7.9000000000000001E-2</v>
      </c>
      <c r="G10" s="30">
        <f t="shared" si="8"/>
        <v>8.6999999999999994E-2</v>
      </c>
      <c r="H10" s="30">
        <f t="shared" si="8"/>
        <v>4.9000000000000002E-2</v>
      </c>
      <c r="I10" s="30">
        <f t="shared" si="8"/>
        <v>3.5000000000000003E-2</v>
      </c>
      <c r="J10" s="30">
        <f t="shared" ref="J10:K10" si="9">IF(J$4=0,"-  ",J9/J$4)</f>
        <v>0.08</v>
      </c>
      <c r="K10" s="30">
        <f t="shared" si="9"/>
        <v>8.7999999999999995E-2</v>
      </c>
      <c r="L10" s="80">
        <f t="shared" ref="L10" si="10">IF(L$4=0,"-  ",L9/L$4)</f>
        <v>0.09</v>
      </c>
    </row>
    <row r="11" spans="1:12" ht="16.149999999999999" customHeight="1" x14ac:dyDescent="0.25">
      <c r="A11" s="2" t="s">
        <v>9</v>
      </c>
      <c r="L11" s="19"/>
    </row>
    <row r="12" spans="1:12" ht="16.149999999999999" customHeight="1" x14ac:dyDescent="0.25">
      <c r="B12" s="2" t="s">
        <v>10</v>
      </c>
      <c r="C12" s="11">
        <v>7906</v>
      </c>
      <c r="D12" s="11">
        <v>5501</v>
      </c>
      <c r="E12" s="11">
        <v>4762</v>
      </c>
      <c r="F12" s="11">
        <v>6012</v>
      </c>
      <c r="G12" s="11">
        <v>6604</v>
      </c>
      <c r="H12" s="11">
        <v>5526</v>
      </c>
      <c r="I12" s="11">
        <v>2923</v>
      </c>
      <c r="J12" s="11">
        <v>2232</v>
      </c>
      <c r="K12" s="11">
        <v>5177</v>
      </c>
      <c r="L12" s="78">
        <v>13425</v>
      </c>
    </row>
    <row r="13" spans="1:12" ht="16.149999999999999" customHeight="1" x14ac:dyDescent="0.25">
      <c r="B13" s="2" t="s">
        <v>11</v>
      </c>
      <c r="C13" s="11">
        <v>-500</v>
      </c>
      <c r="D13" s="11">
        <v>-584</v>
      </c>
      <c r="E13" s="11">
        <v>-1061</v>
      </c>
      <c r="F13" s="11">
        <v>-818</v>
      </c>
      <c r="G13" s="11">
        <v>-797</v>
      </c>
      <c r="H13" s="11">
        <v>-1038</v>
      </c>
      <c r="I13" s="11">
        <v>-854</v>
      </c>
      <c r="J13" s="11">
        <v>-647</v>
      </c>
      <c r="K13" s="11">
        <v>-1046</v>
      </c>
      <c r="L13" s="78">
        <v>-2267</v>
      </c>
    </row>
    <row r="14" spans="1:12" ht="16.149999999999999" customHeight="1" x14ac:dyDescent="0.25">
      <c r="A14" s="15"/>
      <c r="B14" s="4" t="s">
        <v>165</v>
      </c>
      <c r="C14" s="13">
        <f>12344+17739</f>
        <v>30083</v>
      </c>
      <c r="D14" s="13">
        <f>-12689+11352</f>
        <v>-1337</v>
      </c>
      <c r="E14" s="13">
        <f>12084+12441</f>
        <v>24525</v>
      </c>
      <c r="F14" s="13">
        <v>27085</v>
      </c>
      <c r="G14" s="13">
        <v>14133</v>
      </c>
      <c r="H14" s="13">
        <v>16585</v>
      </c>
      <c r="I14" s="13">
        <v>17664</v>
      </c>
      <c r="J14" s="13">
        <v>19203</v>
      </c>
      <c r="K14" s="13">
        <v>-5090</v>
      </c>
      <c r="L14" s="79">
        <v>4243</v>
      </c>
    </row>
    <row r="15" spans="1:12" ht="16.149999999999999" customHeight="1" x14ac:dyDescent="0.25">
      <c r="A15" s="4"/>
      <c r="B15" s="4" t="s">
        <v>13</v>
      </c>
      <c r="C15" s="4">
        <f>SUM(C12:C14)</f>
        <v>37489</v>
      </c>
      <c r="D15" s="4">
        <f t="shared" ref="D15:H15" si="11">SUM(D12:D14)</f>
        <v>3580</v>
      </c>
      <c r="E15" s="4">
        <f t="shared" si="11"/>
        <v>28226</v>
      </c>
      <c r="F15" s="4">
        <f t="shared" si="11"/>
        <v>32279</v>
      </c>
      <c r="G15" s="4">
        <f t="shared" si="11"/>
        <v>19940</v>
      </c>
      <c r="H15" s="4">
        <f t="shared" si="11"/>
        <v>21073</v>
      </c>
      <c r="I15" s="4">
        <f t="shared" ref="I15" si="12">SUM(I12:I14)</f>
        <v>19733</v>
      </c>
      <c r="J15" s="4">
        <f t="shared" ref="J15:K15" si="13">SUM(J12:J14)</f>
        <v>20788</v>
      </c>
      <c r="K15" s="4">
        <f t="shared" si="13"/>
        <v>-959</v>
      </c>
      <c r="L15" s="81">
        <f t="shared" ref="L15" si="14">SUM(L12:L14)</f>
        <v>15401</v>
      </c>
    </row>
    <row r="16" spans="1:12" ht="16.149999999999999" customHeight="1" x14ac:dyDescent="0.25">
      <c r="A16" s="2" t="s">
        <v>14</v>
      </c>
      <c r="C16" s="2">
        <f>C9+C15</f>
        <v>382843</v>
      </c>
      <c r="D16" s="2">
        <f>D9+D15</f>
        <v>347309</v>
      </c>
      <c r="E16" s="2">
        <f t="shared" ref="E16" si="15">E9+E15</f>
        <v>244564</v>
      </c>
      <c r="F16" s="2">
        <f>F9+F15</f>
        <v>354490</v>
      </c>
      <c r="G16" s="2">
        <f>G9+G15</f>
        <v>362392</v>
      </c>
      <c r="H16" s="2">
        <f t="shared" ref="H16" si="16">H9+H15</f>
        <v>195493</v>
      </c>
      <c r="I16" s="2">
        <v>130280</v>
      </c>
      <c r="J16" s="2">
        <f>J9+J15</f>
        <v>302706</v>
      </c>
      <c r="K16" s="2">
        <f>K9+K15</f>
        <v>352440</v>
      </c>
      <c r="L16" s="19">
        <f>L9+L15</f>
        <v>390767</v>
      </c>
    </row>
    <row r="17" spans="1:253" s="29" customFormat="1" ht="16.149999999999999" customHeight="1" x14ac:dyDescent="0.25">
      <c r="B17" s="29" t="s">
        <v>92</v>
      </c>
      <c r="C17" s="30">
        <f t="shared" ref="C17:G17" si="17">IF(C$4=0,"-  ",C16/C$4)</f>
        <v>0.10299999999999999</v>
      </c>
      <c r="D17" s="30">
        <f t="shared" si="17"/>
        <v>9.0999999999999998E-2</v>
      </c>
      <c r="E17" s="30">
        <f t="shared" si="17"/>
        <v>7.1999999999999995E-2</v>
      </c>
      <c r="F17" s="30">
        <f t="shared" si="17"/>
        <v>8.6999999999999994E-2</v>
      </c>
      <c r="G17" s="30">
        <f t="shared" si="17"/>
        <v>9.1999999999999998E-2</v>
      </c>
      <c r="H17" s="30">
        <v>5.3999999999999999E-2</v>
      </c>
      <c r="I17" s="30">
        <v>4.1000000000000002E-2</v>
      </c>
      <c r="J17" s="30">
        <f t="shared" ref="J17:K17" si="18">IF(J$4=0,"-  ",J16/J$4)</f>
        <v>8.5999999999999993E-2</v>
      </c>
      <c r="K17" s="30">
        <f t="shared" si="18"/>
        <v>8.6999999999999994E-2</v>
      </c>
      <c r="L17" s="80">
        <f t="shared" ref="L17" si="19">IF(L$4=0,"-  ",L16/L$4)</f>
        <v>9.2999999999999999E-2</v>
      </c>
    </row>
    <row r="18" spans="1:253" ht="16.149999999999999" customHeight="1" x14ac:dyDescent="0.25">
      <c r="B18" s="2" t="s">
        <v>15</v>
      </c>
      <c r="C18" s="11">
        <f>118000-150</f>
        <v>117850</v>
      </c>
      <c r="D18" s="11">
        <f>116105+289+1</f>
        <v>116395</v>
      </c>
      <c r="E18" s="11">
        <f>82681+197</f>
        <v>82878</v>
      </c>
      <c r="F18" s="11">
        <f>98024+415</f>
        <v>98439</v>
      </c>
      <c r="G18" s="11">
        <f>96150-155</f>
        <v>95995</v>
      </c>
      <c r="H18" s="11">
        <v>56146</v>
      </c>
      <c r="I18" s="11">
        <v>34337</v>
      </c>
      <c r="J18" s="11">
        <v>71866</v>
      </c>
      <c r="K18" s="11">
        <v>92356</v>
      </c>
      <c r="L18" s="78">
        <v>106346</v>
      </c>
    </row>
    <row r="19" spans="1:253" ht="16.149999999999999" customHeight="1" x14ac:dyDescent="0.25">
      <c r="A19" s="103" t="s">
        <v>137</v>
      </c>
      <c r="B19" s="103"/>
      <c r="C19" s="31">
        <f>C16-C18</f>
        <v>264993</v>
      </c>
      <c r="D19" s="31">
        <f t="shared" ref="D19:E19" si="20">D16-D18</f>
        <v>230914</v>
      </c>
      <c r="E19" s="31">
        <f t="shared" si="20"/>
        <v>161686</v>
      </c>
      <c r="F19" s="31">
        <f>F16-F18</f>
        <v>256051</v>
      </c>
      <c r="G19" s="31">
        <f>G16-G18</f>
        <v>266397</v>
      </c>
      <c r="H19" s="31">
        <f>H16-H18</f>
        <v>139347</v>
      </c>
      <c r="I19" s="31">
        <v>95943</v>
      </c>
      <c r="J19" s="31">
        <f>J16-J18</f>
        <v>230840</v>
      </c>
      <c r="K19" s="31">
        <f>K16-K18</f>
        <v>260084</v>
      </c>
      <c r="L19" s="82">
        <f>L16-L18</f>
        <v>284421</v>
      </c>
    </row>
    <row r="20" spans="1:253" ht="16.149999999999999" customHeight="1" x14ac:dyDescent="0.25">
      <c r="A20" s="4" t="s">
        <v>138</v>
      </c>
      <c r="B20" s="4"/>
      <c r="C20" s="13">
        <f>10442-76</f>
        <v>10366</v>
      </c>
      <c r="D20" s="13">
        <f>11124-153</f>
        <v>10971</v>
      </c>
      <c r="E20" s="13">
        <f>11320+32</f>
        <v>11352</v>
      </c>
      <c r="F20" s="13">
        <f>13937+33</f>
        <v>13970</v>
      </c>
      <c r="G20" s="13">
        <f>13987-31</f>
        <v>13956</v>
      </c>
      <c r="H20" s="13">
        <v>14383</v>
      </c>
      <c r="I20" s="13">
        <v>12625</v>
      </c>
      <c r="J20" s="13">
        <v>16122</v>
      </c>
      <c r="K20" s="13">
        <v>16123</v>
      </c>
      <c r="L20" s="79">
        <v>19908</v>
      </c>
    </row>
    <row r="21" spans="1:253" ht="17.25" customHeight="1" x14ac:dyDescent="0.25">
      <c r="A21" s="104" t="s">
        <v>115</v>
      </c>
      <c r="B21" s="104"/>
      <c r="C21" s="15">
        <f t="shared" ref="C21" si="21">C19-C20</f>
        <v>254627</v>
      </c>
      <c r="D21" s="15">
        <f>D19-D20</f>
        <v>219943</v>
      </c>
      <c r="E21" s="15">
        <f>E19-E20</f>
        <v>150334</v>
      </c>
      <c r="F21" s="15">
        <f>F19-F20</f>
        <v>242081</v>
      </c>
      <c r="G21" s="15">
        <f>G19-G20</f>
        <v>252441</v>
      </c>
      <c r="H21" s="15">
        <f>H19-H20</f>
        <v>124964</v>
      </c>
      <c r="I21" s="15">
        <v>83318</v>
      </c>
      <c r="J21" s="15">
        <f>J19-J20</f>
        <v>214718</v>
      </c>
      <c r="K21" s="15">
        <f>K19-K20</f>
        <v>243961</v>
      </c>
      <c r="L21" s="83">
        <f>L19-L20</f>
        <v>264513</v>
      </c>
    </row>
    <row r="22" spans="1:253" s="29" customFormat="1" ht="16.149999999999999" customHeight="1" thickBot="1" x14ac:dyDescent="0.3">
      <c r="A22" s="32"/>
      <c r="B22" s="32" t="s">
        <v>93</v>
      </c>
      <c r="C22" s="33">
        <f t="shared" ref="C22:I22" si="22">IF(C$4=0,"-  ",C21/C$4)</f>
        <v>6.8000000000000005E-2</v>
      </c>
      <c r="D22" s="33">
        <f t="shared" si="22"/>
        <v>5.8000000000000003E-2</v>
      </c>
      <c r="E22" s="33">
        <f t="shared" si="22"/>
        <v>4.3999999999999997E-2</v>
      </c>
      <c r="F22" s="33">
        <f t="shared" si="22"/>
        <v>5.8999999999999997E-2</v>
      </c>
      <c r="G22" s="33">
        <f t="shared" si="22"/>
        <v>6.4000000000000001E-2</v>
      </c>
      <c r="H22" s="33">
        <f t="shared" si="22"/>
        <v>3.5000000000000003E-2</v>
      </c>
      <c r="I22" s="33">
        <f t="shared" si="22"/>
        <v>2.5999999999999999E-2</v>
      </c>
      <c r="J22" s="33">
        <f t="shared" ref="J22:K22" si="23">IF(J$4=0,"-  ",J21/J$4)</f>
        <v>6.0999999999999999E-2</v>
      </c>
      <c r="K22" s="33">
        <f t="shared" si="23"/>
        <v>6.0999999999999999E-2</v>
      </c>
      <c r="L22" s="84">
        <f t="shared" ref="L22" si="24">IF(L$4=0,"-  ",L21/L$4)</f>
        <v>6.3E-2</v>
      </c>
    </row>
    <row r="23" spans="1:253" ht="16.149999999999999" customHeight="1" x14ac:dyDescent="0.25">
      <c r="L23" s="19"/>
    </row>
    <row r="24" spans="1:253" ht="16.149999999999999" customHeight="1" x14ac:dyDescent="0.25">
      <c r="A24" s="8" t="s">
        <v>16</v>
      </c>
      <c r="B24" s="15"/>
      <c r="L24" s="19"/>
    </row>
    <row r="25" spans="1:253" ht="42" customHeight="1" x14ac:dyDescent="0.25">
      <c r="A25" s="105" t="s">
        <v>89</v>
      </c>
      <c r="B25" s="105"/>
      <c r="L25" s="19"/>
    </row>
    <row r="26" spans="1:253" s="34" customFormat="1" ht="16.149999999999999" customHeight="1" x14ac:dyDescent="0.25">
      <c r="B26" s="34" t="s">
        <v>17</v>
      </c>
      <c r="C26" s="34">
        <v>228.88</v>
      </c>
      <c r="D26" s="34">
        <v>201.41</v>
      </c>
      <c r="E26" s="34">
        <v>137.66</v>
      </c>
      <c r="F26" s="34">
        <v>223.03</v>
      </c>
      <c r="G26" s="34">
        <v>233.8</v>
      </c>
      <c r="H26" s="34">
        <v>116.79</v>
      </c>
      <c r="I26" s="34">
        <v>79.37</v>
      </c>
      <c r="J26" s="34">
        <v>205.35</v>
      </c>
      <c r="K26" s="34">
        <v>236.71</v>
      </c>
      <c r="L26" s="99">
        <v>264.2</v>
      </c>
    </row>
    <row r="27" spans="1:253" s="34" customFormat="1" ht="16.149999999999999" customHeight="1" x14ac:dyDescent="0.25">
      <c r="B27" s="34" t="s">
        <v>18</v>
      </c>
      <c r="C27" s="34">
        <v>228.88</v>
      </c>
      <c r="D27" s="34">
        <v>201.4</v>
      </c>
      <c r="E27" s="34">
        <v>137.66</v>
      </c>
      <c r="F27" s="34">
        <v>223.03</v>
      </c>
      <c r="G27" s="34">
        <v>233.78</v>
      </c>
      <c r="H27" s="34">
        <v>116.77</v>
      </c>
      <c r="I27" s="34">
        <v>79.349999999999994</v>
      </c>
      <c r="J27" s="34">
        <v>205.29</v>
      </c>
      <c r="K27" s="34">
        <v>236.63</v>
      </c>
      <c r="L27" s="99">
        <v>264.08</v>
      </c>
    </row>
    <row r="28" spans="1:253" ht="16.149999999999999" customHeight="1" x14ac:dyDescent="0.25">
      <c r="L28" s="19"/>
    </row>
    <row r="29" spans="1:253" ht="16.149999999999999" customHeight="1" x14ac:dyDescent="0.25">
      <c r="A29" s="2" t="s">
        <v>19</v>
      </c>
      <c r="L29" s="19"/>
      <c r="IR29" s="34"/>
      <c r="IS29" s="34"/>
    </row>
    <row r="30" spans="1:253" s="35" customFormat="1" ht="16.149999999999999" customHeight="1" x14ac:dyDescent="0.25">
      <c r="B30" s="35" t="s">
        <v>20</v>
      </c>
      <c r="C30" s="35">
        <v>106.2</v>
      </c>
      <c r="D30" s="35">
        <v>121.1</v>
      </c>
      <c r="E30" s="35">
        <v>108.6</v>
      </c>
      <c r="F30" s="35">
        <v>112.1</v>
      </c>
      <c r="G30" s="35">
        <v>110.4</v>
      </c>
      <c r="H30" s="35">
        <v>109</v>
      </c>
      <c r="I30" s="35">
        <v>106.7</v>
      </c>
      <c r="J30" s="35">
        <v>109.9</v>
      </c>
      <c r="K30" s="35">
        <v>131.69999999999999</v>
      </c>
      <c r="L30" s="85">
        <v>140.9</v>
      </c>
      <c r="IR30" s="34"/>
      <c r="IS30" s="34"/>
    </row>
    <row r="31" spans="1:253" s="35" customFormat="1" ht="16.149999999999999" customHeight="1" thickBot="1" x14ac:dyDescent="0.3">
      <c r="A31" s="36"/>
      <c r="B31" s="36" t="s">
        <v>21</v>
      </c>
      <c r="C31" s="37">
        <v>140.6</v>
      </c>
      <c r="D31" s="37">
        <v>134.19999999999999</v>
      </c>
      <c r="E31" s="37">
        <v>120.3</v>
      </c>
      <c r="F31" s="37">
        <v>126.7</v>
      </c>
      <c r="G31" s="37">
        <v>130.30000000000001</v>
      </c>
      <c r="H31" s="37">
        <v>122</v>
      </c>
      <c r="I31" s="37">
        <v>122.1</v>
      </c>
      <c r="J31" s="37">
        <v>129.9</v>
      </c>
      <c r="K31" s="37">
        <v>138.4</v>
      </c>
      <c r="L31" s="86">
        <v>152.19999999999999</v>
      </c>
      <c r="IR31" s="34"/>
      <c r="IS31" s="34"/>
    </row>
    <row r="32" spans="1:253" s="17" customFormat="1" ht="2.25" customHeight="1" x14ac:dyDescent="0.25"/>
    <row r="33" spans="1:18" s="17" customFormat="1" ht="16.149999999999999" customHeight="1" x14ac:dyDescent="0.25">
      <c r="A33" s="38" t="s">
        <v>68</v>
      </c>
      <c r="B33" s="106" t="s">
        <v>170</v>
      </c>
      <c r="C33" s="106"/>
      <c r="D33" s="106"/>
      <c r="E33" s="106"/>
      <c r="F33" s="106"/>
      <c r="G33" s="106"/>
      <c r="H33" s="106"/>
      <c r="I33" s="106"/>
      <c r="J33" s="106"/>
      <c r="K33" s="106"/>
      <c r="L33" s="106"/>
      <c r="M33" s="106"/>
      <c r="N33" s="106"/>
      <c r="O33" s="106"/>
      <c r="P33" s="106"/>
      <c r="Q33" s="106"/>
      <c r="R33" s="106"/>
    </row>
  </sheetData>
  <mergeCells count="4">
    <mergeCell ref="A19:B19"/>
    <mergeCell ref="A21:B21"/>
    <mergeCell ref="A25:B25"/>
    <mergeCell ref="B33:R33"/>
  </mergeCells>
  <phoneticPr fontId="2"/>
  <printOptions horizontalCentered="1"/>
  <pageMargins left="0.43307086614173229" right="0.47244094488188981" top="0.39370078740157483" bottom="0.19685039370078741" header="0.31496062992125984" footer="0.19685039370078741"/>
  <pageSetup paperSize="9" scale="79" orientation="landscape" blackAndWhite="1" r:id="rId1"/>
  <headerFooter differentFirst="1" scaleWithDoc="0" alignWithMargins="0">
    <oddFooter>&amp;R-&amp;A-</oddFooter>
  </headerFooter>
  <ignoredErrors>
    <ignoredError sqref="C5:L2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R41"/>
  <sheetViews>
    <sheetView showGridLines="0" view="pageBreakPreview" zoomScaleNormal="100" zoomScaleSheetLayoutView="100" workbookViewId="0">
      <pane xSplit="2" ySplit="2" topLeftCell="C27" activePane="bottomRight" state="frozen"/>
      <selection activeCell="E13" sqref="E13"/>
      <selection pane="topRight" activeCell="E13" sqref="E13"/>
      <selection pane="bottomLeft" activeCell="E13" sqref="E13"/>
      <selection pane="bottomRight" activeCell="E13" sqref="E13"/>
    </sheetView>
  </sheetViews>
  <sheetFormatPr defaultColWidth="10.75" defaultRowHeight="16.149999999999999" customHeight="1" x14ac:dyDescent="0.25"/>
  <cols>
    <col min="1" max="1" width="3.375" style="2" customWidth="1"/>
    <col min="2" max="2" width="31.625" style="2" customWidth="1"/>
    <col min="3" max="12" width="13.875" style="2" customWidth="1"/>
    <col min="13" max="16384" width="10.75" style="2"/>
  </cols>
  <sheetData>
    <row r="1" spans="1:12" ht="30" customHeight="1" x14ac:dyDescent="0.35">
      <c r="A1" s="1" t="s">
        <v>70</v>
      </c>
      <c r="C1" s="3"/>
      <c r="D1" s="3"/>
    </row>
    <row r="2" spans="1:12" s="41" customFormat="1" ht="16.5" x14ac:dyDescent="0.25">
      <c r="A2" s="39"/>
      <c r="B2" s="40"/>
      <c r="C2" s="5">
        <v>2014</v>
      </c>
      <c r="D2" s="5">
        <v>2015</v>
      </c>
      <c r="E2" s="5">
        <v>2016</v>
      </c>
      <c r="F2" s="5">
        <v>2017</v>
      </c>
      <c r="G2" s="5">
        <v>2018</v>
      </c>
      <c r="H2" s="5">
        <v>2019</v>
      </c>
      <c r="I2" s="5">
        <v>2020</v>
      </c>
      <c r="J2" s="5">
        <v>2021</v>
      </c>
      <c r="K2" s="5">
        <v>2022</v>
      </c>
      <c r="L2" s="5">
        <v>2023</v>
      </c>
    </row>
    <row r="3" spans="1:12" s="6" customFormat="1" ht="16.149999999999999" customHeight="1" x14ac:dyDescent="0.25">
      <c r="A3" s="8" t="s">
        <v>3</v>
      </c>
      <c r="B3" s="7"/>
    </row>
    <row r="4" spans="1:12" ht="16.149999999999999" customHeight="1" x14ac:dyDescent="0.25">
      <c r="A4" s="4" t="s">
        <v>22</v>
      </c>
      <c r="B4" s="4"/>
      <c r="C4" s="4"/>
      <c r="D4" s="4"/>
      <c r="E4" s="4"/>
      <c r="F4" s="4"/>
      <c r="G4" s="4"/>
      <c r="H4" s="4"/>
      <c r="I4" s="4"/>
      <c r="J4" s="4"/>
      <c r="K4" s="4"/>
      <c r="L4" s="4"/>
    </row>
    <row r="5" spans="1:12" ht="16.149999999999999" customHeight="1" x14ac:dyDescent="0.25">
      <c r="A5" s="2" t="s">
        <v>23</v>
      </c>
    </row>
    <row r="6" spans="1:12" ht="16.149999999999999" customHeight="1" x14ac:dyDescent="0.25">
      <c r="B6" s="2" t="s">
        <v>72</v>
      </c>
      <c r="C6" s="11">
        <v>844580</v>
      </c>
      <c r="D6" s="11">
        <v>633613</v>
      </c>
      <c r="E6" s="11">
        <v>630193</v>
      </c>
      <c r="F6" s="11">
        <v>721814</v>
      </c>
      <c r="G6" s="11">
        <v>520645</v>
      </c>
      <c r="H6" s="11">
        <v>412814</v>
      </c>
      <c r="I6" s="11">
        <v>407684</v>
      </c>
      <c r="J6" s="11">
        <v>401395</v>
      </c>
      <c r="K6" s="11">
        <v>362101</v>
      </c>
      <c r="L6" s="78">
        <v>401323</v>
      </c>
    </row>
    <row r="7" spans="1:12" ht="16.149999999999999" customHeight="1" x14ac:dyDescent="0.25">
      <c r="B7" s="2" t="s">
        <v>131</v>
      </c>
      <c r="C7" s="11">
        <v>71863</v>
      </c>
      <c r="D7" s="11">
        <v>20651</v>
      </c>
      <c r="E7" s="11">
        <v>3206</v>
      </c>
      <c r="F7" s="11">
        <v>1965</v>
      </c>
      <c r="G7" s="11">
        <v>956</v>
      </c>
      <c r="H7" s="11">
        <v>1767</v>
      </c>
      <c r="I7" s="11">
        <v>71</v>
      </c>
      <c r="J7" s="11">
        <v>3377</v>
      </c>
      <c r="K7" s="11">
        <v>10905</v>
      </c>
      <c r="L7" s="78">
        <v>3822</v>
      </c>
    </row>
    <row r="8" spans="1:12" ht="16.149999999999999" customHeight="1" x14ac:dyDescent="0.25">
      <c r="B8" s="2" t="s">
        <v>79</v>
      </c>
      <c r="C8" s="11">
        <v>625675</v>
      </c>
      <c r="D8" s="11">
        <v>588001</v>
      </c>
      <c r="E8" s="11">
        <v>641458</v>
      </c>
      <c r="F8" s="11">
        <v>650872</v>
      </c>
      <c r="G8" s="11">
        <v>612953</v>
      </c>
      <c r="H8" s="11">
        <v>559836</v>
      </c>
      <c r="I8" s="11">
        <v>546771</v>
      </c>
      <c r="J8" s="11">
        <v>522432</v>
      </c>
      <c r="K8" s="11">
        <v>636803</v>
      </c>
      <c r="L8" s="78">
        <v>655460</v>
      </c>
    </row>
    <row r="9" spans="1:12" ht="16.149999999999999" customHeight="1" x14ac:dyDescent="0.25">
      <c r="B9" s="2" t="s">
        <v>94</v>
      </c>
      <c r="C9" s="11">
        <v>528167</v>
      </c>
      <c r="D9" s="11">
        <v>501895</v>
      </c>
      <c r="E9" s="11">
        <v>560736</v>
      </c>
      <c r="F9" s="11">
        <v>570033</v>
      </c>
      <c r="G9" s="11">
        <v>611281</v>
      </c>
      <c r="H9" s="11">
        <v>584756</v>
      </c>
      <c r="I9" s="11">
        <v>562807</v>
      </c>
      <c r="J9" s="11">
        <v>650568</v>
      </c>
      <c r="K9" s="11">
        <v>808312</v>
      </c>
      <c r="L9" s="78">
        <v>796881</v>
      </c>
    </row>
    <row r="10" spans="1:12" ht="16.149999999999999" customHeight="1" x14ac:dyDescent="0.25">
      <c r="B10" s="4" t="s">
        <v>73</v>
      </c>
      <c r="C10" s="13">
        <v>321648</v>
      </c>
      <c r="D10" s="13">
        <v>313019</v>
      </c>
      <c r="E10" s="13">
        <v>264155</v>
      </c>
      <c r="F10" s="13">
        <v>287965</v>
      </c>
      <c r="G10" s="13">
        <v>304346</v>
      </c>
      <c r="H10" s="13">
        <v>286792</v>
      </c>
      <c r="I10" s="13">
        <v>271810</v>
      </c>
      <c r="J10" s="13">
        <v>300573</v>
      </c>
      <c r="K10" s="13">
        <v>337793</v>
      </c>
      <c r="L10" s="79">
        <v>366600</v>
      </c>
    </row>
    <row r="11" spans="1:12" ht="16.149999999999999" customHeight="1" x14ac:dyDescent="0.25">
      <c r="B11" s="2" t="s">
        <v>24</v>
      </c>
      <c r="C11" s="2">
        <f t="shared" ref="C11:E11" si="0">SUM(C6:C10)</f>
        <v>2391933</v>
      </c>
      <c r="D11" s="2">
        <f t="shared" si="0"/>
        <v>2057179</v>
      </c>
      <c r="E11" s="2">
        <f t="shared" si="0"/>
        <v>2099748</v>
      </c>
      <c r="F11" s="2">
        <f t="shared" ref="F11:K11" si="1">SUM(F6:F10)</f>
        <v>2232649</v>
      </c>
      <c r="G11" s="2">
        <f t="shared" si="1"/>
        <v>2050181</v>
      </c>
      <c r="H11" s="2">
        <f t="shared" si="1"/>
        <v>1845965</v>
      </c>
      <c r="I11" s="2">
        <f t="shared" si="1"/>
        <v>1789143</v>
      </c>
      <c r="J11" s="2">
        <f t="shared" si="1"/>
        <v>1878345</v>
      </c>
      <c r="K11" s="2">
        <f t="shared" si="1"/>
        <v>2155914</v>
      </c>
      <c r="L11" s="19">
        <f t="shared" ref="L11" si="2">SUM(L6:L10)</f>
        <v>2224086</v>
      </c>
    </row>
    <row r="12" spans="1:12" ht="16.149999999999999" customHeight="1" x14ac:dyDescent="0.25">
      <c r="A12" s="2" t="s">
        <v>95</v>
      </c>
      <c r="C12" s="11">
        <v>29785</v>
      </c>
      <c r="D12" s="11">
        <v>29476</v>
      </c>
      <c r="E12" s="11">
        <v>29297</v>
      </c>
      <c r="F12" s="11">
        <v>35444</v>
      </c>
      <c r="G12" s="11">
        <v>18230</v>
      </c>
      <c r="H12" s="11">
        <v>17135</v>
      </c>
      <c r="I12" s="11">
        <v>17276</v>
      </c>
      <c r="J12" s="11">
        <v>16388</v>
      </c>
      <c r="K12" s="11">
        <v>12996</v>
      </c>
      <c r="L12" s="78">
        <v>11734</v>
      </c>
    </row>
    <row r="13" spans="1:12" ht="16.149999999999999" customHeight="1" x14ac:dyDescent="0.25">
      <c r="A13" s="2" t="s">
        <v>25</v>
      </c>
      <c r="C13" s="11">
        <v>65176</v>
      </c>
      <c r="D13" s="11">
        <v>67862</v>
      </c>
      <c r="E13" s="11">
        <v>73680</v>
      </c>
      <c r="F13" s="11">
        <v>48320</v>
      </c>
      <c r="G13" s="11">
        <v>42556</v>
      </c>
      <c r="H13" s="11">
        <v>48361</v>
      </c>
      <c r="I13" s="11">
        <v>49994</v>
      </c>
      <c r="J13" s="11">
        <v>60967</v>
      </c>
      <c r="K13" s="11">
        <v>65128</v>
      </c>
      <c r="L13" s="78">
        <v>78505</v>
      </c>
    </row>
    <row r="14" spans="1:12" ht="16.149999999999999" customHeight="1" x14ac:dyDescent="0.25">
      <c r="A14" s="2" t="s">
        <v>26</v>
      </c>
      <c r="C14" s="11">
        <v>1269529</v>
      </c>
      <c r="D14" s="11">
        <v>1219652</v>
      </c>
      <c r="E14" s="11">
        <v>1194976</v>
      </c>
      <c r="F14" s="11">
        <v>1126620</v>
      </c>
      <c r="G14" s="11">
        <v>1090992</v>
      </c>
      <c r="H14" s="11">
        <v>1089671</v>
      </c>
      <c r="I14" s="11">
        <v>1037680</v>
      </c>
      <c r="J14" s="11">
        <v>1041403</v>
      </c>
      <c r="K14" s="11">
        <v>1035065</v>
      </c>
      <c r="L14" s="78">
        <v>1095879</v>
      </c>
    </row>
    <row r="15" spans="1:12" ht="16.149999999999999" customHeight="1" thickBot="1" x14ac:dyDescent="0.3">
      <c r="A15" s="14" t="s">
        <v>27</v>
      </c>
      <c r="B15" s="14"/>
      <c r="C15" s="42">
        <f>704195+4236</f>
        <v>708431</v>
      </c>
      <c r="D15" s="42">
        <f>1053604+3947</f>
        <v>1057551</v>
      </c>
      <c r="E15" s="42">
        <f>1740828+3750</f>
        <v>1744578</v>
      </c>
      <c r="F15" s="42">
        <f>1755258+3335</f>
        <v>1758593</v>
      </c>
      <c r="G15" s="42">
        <f>1697506+3490</f>
        <v>1700996</v>
      </c>
      <c r="H15" s="42">
        <v>1770786</v>
      </c>
      <c r="I15" s="42">
        <v>1731521</v>
      </c>
      <c r="J15" s="42">
        <v>1753785</v>
      </c>
      <c r="K15" s="42">
        <v>1826427</v>
      </c>
      <c r="L15" s="89">
        <v>2006373</v>
      </c>
    </row>
    <row r="16" spans="1:12" ht="17.25" customHeight="1" thickBot="1" x14ac:dyDescent="0.3">
      <c r="A16" s="14"/>
      <c r="B16" s="14" t="s">
        <v>28</v>
      </c>
      <c r="C16" s="14">
        <f t="shared" ref="C16:G16" si="3">SUM(C11:C15)</f>
        <v>4464854</v>
      </c>
      <c r="D16" s="14">
        <f t="shared" si="3"/>
        <v>4431720</v>
      </c>
      <c r="E16" s="14">
        <f t="shared" si="3"/>
        <v>5142279</v>
      </c>
      <c r="F16" s="14">
        <f t="shared" si="3"/>
        <v>5201626</v>
      </c>
      <c r="G16" s="14">
        <f t="shared" si="3"/>
        <v>4902955</v>
      </c>
      <c r="H16" s="14">
        <f>SUM(H11:H15)</f>
        <v>4771918</v>
      </c>
      <c r="I16" s="14">
        <f>SUM(I11:I15)</f>
        <v>4625614</v>
      </c>
      <c r="J16" s="14">
        <f>SUM(J11:J15)</f>
        <v>4750888</v>
      </c>
      <c r="K16" s="14">
        <f>SUM(K11:K15)</f>
        <v>5095530</v>
      </c>
      <c r="L16" s="87">
        <f>SUM(L11:L15)</f>
        <v>5416577</v>
      </c>
    </row>
    <row r="17" spans="1:12" ht="16.149999999999999" customHeight="1" x14ac:dyDescent="0.25">
      <c r="L17" s="19"/>
    </row>
    <row r="18" spans="1:12" ht="16.149999999999999" customHeight="1" x14ac:dyDescent="0.25">
      <c r="A18" s="4" t="s">
        <v>88</v>
      </c>
      <c r="B18" s="4"/>
      <c r="C18" s="4"/>
      <c r="D18" s="4"/>
      <c r="E18" s="4"/>
      <c r="F18" s="4"/>
      <c r="G18" s="4"/>
      <c r="H18" s="4"/>
      <c r="I18" s="4"/>
      <c r="J18" s="4"/>
      <c r="K18" s="4"/>
      <c r="L18" s="81"/>
    </row>
    <row r="19" spans="1:12" ht="16.149999999999999" customHeight="1" x14ac:dyDescent="0.25">
      <c r="A19" s="2" t="s">
        <v>29</v>
      </c>
      <c r="L19" s="19"/>
    </row>
    <row r="20" spans="1:12" ht="16.149999999999999" customHeight="1" x14ac:dyDescent="0.25">
      <c r="B20" s="2" t="s">
        <v>81</v>
      </c>
      <c r="C20" s="11">
        <v>1018</v>
      </c>
      <c r="D20" s="11">
        <v>688</v>
      </c>
      <c r="E20" s="11">
        <v>1850</v>
      </c>
      <c r="F20" s="11">
        <v>39328</v>
      </c>
      <c r="G20" s="11">
        <v>38527</v>
      </c>
      <c r="H20" s="11">
        <v>42034</v>
      </c>
      <c r="I20" s="11">
        <v>392235</v>
      </c>
      <c r="J20" s="11">
        <v>44891</v>
      </c>
      <c r="K20" s="11">
        <v>296384</v>
      </c>
      <c r="L20" s="78">
        <v>386200</v>
      </c>
    </row>
    <row r="21" spans="1:12" ht="16.149999999999999" customHeight="1" x14ac:dyDescent="0.25">
      <c r="B21" s="2" t="s">
        <v>80</v>
      </c>
      <c r="C21" s="11">
        <v>310214</v>
      </c>
      <c r="D21" s="11">
        <v>278255</v>
      </c>
      <c r="E21" s="11">
        <v>372269</v>
      </c>
      <c r="F21" s="11">
        <v>380654</v>
      </c>
      <c r="G21" s="11">
        <v>352489</v>
      </c>
      <c r="H21" s="11">
        <v>305312</v>
      </c>
      <c r="I21" s="11">
        <v>303809</v>
      </c>
      <c r="J21" s="11">
        <v>338604</v>
      </c>
      <c r="K21" s="11">
        <v>355930</v>
      </c>
      <c r="L21" s="78">
        <v>309930</v>
      </c>
    </row>
    <row r="22" spans="1:12" ht="16.149999999999999" customHeight="1" x14ac:dyDescent="0.25">
      <c r="B22" s="2" t="s">
        <v>74</v>
      </c>
      <c r="C22" s="11">
        <v>57212</v>
      </c>
      <c r="D22" s="11">
        <v>47431</v>
      </c>
      <c r="E22" s="11">
        <v>30514</v>
      </c>
      <c r="F22" s="11">
        <v>77501</v>
      </c>
      <c r="G22" s="11">
        <v>41264</v>
      </c>
      <c r="H22" s="11">
        <v>18801</v>
      </c>
      <c r="I22" s="11">
        <v>18761</v>
      </c>
      <c r="J22" s="11">
        <v>43081</v>
      </c>
      <c r="K22" s="11">
        <v>48414</v>
      </c>
      <c r="L22" s="78">
        <v>56983</v>
      </c>
    </row>
    <row r="23" spans="1:12" ht="16.149999999999999" customHeight="1" x14ac:dyDescent="0.25">
      <c r="B23" s="2" t="s">
        <v>30</v>
      </c>
      <c r="C23" s="11">
        <v>345237</v>
      </c>
      <c r="D23" s="11">
        <v>317653</v>
      </c>
      <c r="E23" s="11">
        <v>304901</v>
      </c>
      <c r="F23" s="11">
        <v>330188</v>
      </c>
      <c r="G23" s="11">
        <v>321137</v>
      </c>
      <c r="H23" s="11">
        <v>336396</v>
      </c>
      <c r="I23" s="11">
        <v>317716</v>
      </c>
      <c r="J23" s="11">
        <v>323929</v>
      </c>
      <c r="K23" s="11">
        <v>365847</v>
      </c>
      <c r="L23" s="78">
        <v>373544</v>
      </c>
    </row>
    <row r="24" spans="1:12" ht="16.149999999999999" customHeight="1" x14ac:dyDescent="0.25">
      <c r="B24" s="4" t="s">
        <v>31</v>
      </c>
      <c r="C24" s="13">
        <v>207698</v>
      </c>
      <c r="D24" s="13">
        <v>171302</v>
      </c>
      <c r="E24" s="13">
        <v>273835</v>
      </c>
      <c r="F24" s="13">
        <v>281809</v>
      </c>
      <c r="G24" s="13">
        <v>276237</v>
      </c>
      <c r="H24" s="13">
        <v>269460</v>
      </c>
      <c r="I24" s="13">
        <v>293668</v>
      </c>
      <c r="J24" s="13">
        <v>310328</v>
      </c>
      <c r="K24" s="13">
        <v>298778</v>
      </c>
      <c r="L24" s="79">
        <v>312519</v>
      </c>
    </row>
    <row r="25" spans="1:12" ht="16.149999999999999" customHeight="1" x14ac:dyDescent="0.25">
      <c r="B25" s="2" t="s">
        <v>32</v>
      </c>
      <c r="C25" s="2">
        <f t="shared" ref="C25:G25" si="4">SUM(C20:C24)</f>
        <v>921379</v>
      </c>
      <c r="D25" s="2">
        <f t="shared" si="4"/>
        <v>815329</v>
      </c>
      <c r="E25" s="2">
        <f t="shared" si="4"/>
        <v>983369</v>
      </c>
      <c r="F25" s="2">
        <f t="shared" si="4"/>
        <v>1109480</v>
      </c>
      <c r="G25" s="2">
        <f t="shared" si="4"/>
        <v>1029654</v>
      </c>
      <c r="H25" s="2">
        <f>SUM(H20:H24)</f>
        <v>972003</v>
      </c>
      <c r="I25" s="2">
        <f>SUM(I20:I24)</f>
        <v>1326189</v>
      </c>
      <c r="J25" s="2">
        <f>SUM(J20:J24)</f>
        <v>1060833</v>
      </c>
      <c r="K25" s="2">
        <f>SUM(K20:K24)</f>
        <v>1365353</v>
      </c>
      <c r="L25" s="19">
        <f>SUM(L20:L24)</f>
        <v>1439176</v>
      </c>
    </row>
    <row r="26" spans="1:12" ht="16.149999999999999" customHeight="1" x14ac:dyDescent="0.25">
      <c r="A26" s="2" t="s">
        <v>66</v>
      </c>
      <c r="C26" s="11">
        <v>1148</v>
      </c>
      <c r="D26" s="11">
        <v>881</v>
      </c>
      <c r="E26" s="11">
        <v>611289</v>
      </c>
      <c r="F26" s="11">
        <v>493238</v>
      </c>
      <c r="G26" s="11">
        <v>361962</v>
      </c>
      <c r="H26" s="11">
        <v>357340</v>
      </c>
      <c r="I26" s="11">
        <v>4834</v>
      </c>
      <c r="J26" s="11">
        <v>179750</v>
      </c>
      <c r="K26" s="11">
        <v>2417</v>
      </c>
      <c r="L26" s="78">
        <v>2954</v>
      </c>
    </row>
    <row r="27" spans="1:12" ht="16.149999999999999" customHeight="1" x14ac:dyDescent="0.25">
      <c r="A27" s="2" t="s">
        <v>33</v>
      </c>
      <c r="C27" s="11">
        <f>280928+11148</f>
        <v>292076</v>
      </c>
      <c r="D27" s="11">
        <f>296262+11277</f>
        <v>307539</v>
      </c>
      <c r="E27" s="11">
        <f>407200+11364</f>
        <v>418564</v>
      </c>
      <c r="F27" s="11">
        <f>365582+10758</f>
        <v>376340</v>
      </c>
      <c r="G27" s="11">
        <f>382789+11258</f>
        <v>394047</v>
      </c>
      <c r="H27" s="11">
        <v>368507</v>
      </c>
      <c r="I27" s="11">
        <v>345897</v>
      </c>
      <c r="J27" s="11">
        <v>248467</v>
      </c>
      <c r="K27" s="11">
        <v>189215</v>
      </c>
      <c r="L27" s="78">
        <v>171779</v>
      </c>
    </row>
    <row r="28" spans="1:12" ht="16.149999999999999" customHeight="1" x14ac:dyDescent="0.25">
      <c r="A28" s="4" t="s">
        <v>34</v>
      </c>
      <c r="B28" s="4"/>
      <c r="C28" s="13">
        <v>116405</v>
      </c>
      <c r="D28" s="13">
        <v>130838</v>
      </c>
      <c r="E28" s="13">
        <v>142049</v>
      </c>
      <c r="F28" s="13">
        <v>133816</v>
      </c>
      <c r="G28" s="13">
        <v>107147</v>
      </c>
      <c r="H28" s="13">
        <v>190088</v>
      </c>
      <c r="I28" s="13">
        <v>164653</v>
      </c>
      <c r="J28" s="13">
        <v>163409</v>
      </c>
      <c r="K28" s="13">
        <v>189515</v>
      </c>
      <c r="L28" s="79">
        <v>196961</v>
      </c>
    </row>
    <row r="29" spans="1:12" ht="16.149999999999999" customHeight="1" x14ac:dyDescent="0.25">
      <c r="A29" s="4"/>
      <c r="B29" s="4" t="s">
        <v>35</v>
      </c>
      <c r="C29" s="4">
        <f t="shared" ref="C29:G29" si="5">SUM(C25:C28)</f>
        <v>1331008</v>
      </c>
      <c r="D29" s="4">
        <f t="shared" si="5"/>
        <v>1254587</v>
      </c>
      <c r="E29" s="4">
        <f t="shared" si="5"/>
        <v>2155271</v>
      </c>
      <c r="F29" s="4">
        <f t="shared" si="5"/>
        <v>2112874</v>
      </c>
      <c r="G29" s="4">
        <f t="shared" si="5"/>
        <v>1892810</v>
      </c>
      <c r="H29" s="4">
        <f>SUM(H25:H28)</f>
        <v>1887938</v>
      </c>
      <c r="I29" s="4">
        <f>SUM(I25:I28)</f>
        <v>1841573</v>
      </c>
      <c r="J29" s="4">
        <f>SUM(J25:J28)</f>
        <v>1652459</v>
      </c>
      <c r="K29" s="4">
        <f>SUM(K25:K28)</f>
        <v>1746500</v>
      </c>
      <c r="L29" s="81">
        <f>SUM(L25:L28)</f>
        <v>1810870</v>
      </c>
    </row>
    <row r="30" spans="1:12" ht="16.149999999999999" customHeight="1" x14ac:dyDescent="0.25">
      <c r="A30" s="2" t="s">
        <v>139</v>
      </c>
      <c r="L30" s="19"/>
    </row>
    <row r="31" spans="1:12" ht="16.149999999999999" customHeight="1" x14ac:dyDescent="0.25">
      <c r="B31" s="2" t="s">
        <v>36</v>
      </c>
      <c r="C31" s="11">
        <v>174762</v>
      </c>
      <c r="D31" s="11">
        <v>174762</v>
      </c>
      <c r="E31" s="11">
        <v>174762</v>
      </c>
      <c r="F31" s="11">
        <v>174762</v>
      </c>
      <c r="G31" s="11">
        <v>174762</v>
      </c>
      <c r="H31" s="11">
        <v>174762</v>
      </c>
      <c r="I31" s="11">
        <v>174762</v>
      </c>
      <c r="J31" s="11">
        <v>174762</v>
      </c>
      <c r="K31" s="11">
        <v>174762</v>
      </c>
      <c r="L31" s="78">
        <v>174762</v>
      </c>
    </row>
    <row r="32" spans="1:12" ht="16.149999999999999" customHeight="1" x14ac:dyDescent="0.25">
      <c r="B32" s="2" t="s">
        <v>75</v>
      </c>
      <c r="C32" s="11">
        <v>401563</v>
      </c>
      <c r="D32" s="11">
        <v>401358</v>
      </c>
      <c r="E32" s="11">
        <v>401385</v>
      </c>
      <c r="F32" s="11">
        <v>401386</v>
      </c>
      <c r="G32" s="11">
        <v>404389</v>
      </c>
      <c r="H32" s="11">
        <v>405017</v>
      </c>
      <c r="I32" s="11">
        <v>404620</v>
      </c>
      <c r="J32" s="11">
        <v>403119</v>
      </c>
      <c r="K32" s="11">
        <v>404838</v>
      </c>
      <c r="L32" s="78">
        <v>404935</v>
      </c>
    </row>
    <row r="33" spans="1:252" ht="16.149999999999999" customHeight="1" x14ac:dyDescent="0.25">
      <c r="B33" s="2" t="s">
        <v>71</v>
      </c>
      <c r="C33" s="11">
        <f>3384991-6050-170-1</f>
        <v>3378770</v>
      </c>
      <c r="D33" s="11">
        <f>3430447-6221-266+1</f>
        <v>3423961</v>
      </c>
      <c r="E33" s="11">
        <f>3417286-6486-316</f>
        <v>3410484</v>
      </c>
      <c r="F33" s="11">
        <f>3496191-6802+158</f>
        <v>3489547</v>
      </c>
      <c r="G33" s="11">
        <f>3576024-6644-314</f>
        <v>3569066</v>
      </c>
      <c r="H33" s="11">
        <v>3522655</v>
      </c>
      <c r="I33" s="11">
        <v>3478807</v>
      </c>
      <c r="J33" s="11">
        <v>3606052</v>
      </c>
      <c r="K33" s="11">
        <v>3729244</v>
      </c>
      <c r="L33" s="78">
        <v>3862846</v>
      </c>
    </row>
    <row r="34" spans="1:252" ht="16.149999999999999" customHeight="1" x14ac:dyDescent="0.25">
      <c r="B34" s="15" t="s">
        <v>37</v>
      </c>
      <c r="C34" s="31">
        <v>28286</v>
      </c>
      <c r="D34" s="31">
        <v>-29742</v>
      </c>
      <c r="E34" s="31">
        <v>-199881</v>
      </c>
      <c r="F34" s="31">
        <v>-143228</v>
      </c>
      <c r="G34" s="31">
        <v>-269071</v>
      </c>
      <c r="H34" s="31">
        <v>-308442</v>
      </c>
      <c r="I34" s="31">
        <v>-324789</v>
      </c>
      <c r="J34" s="31">
        <v>-151794</v>
      </c>
      <c r="K34" s="31">
        <v>62623</v>
      </c>
      <c r="L34" s="82">
        <v>268758</v>
      </c>
    </row>
    <row r="35" spans="1:252" ht="16.149999999999999" customHeight="1" x14ac:dyDescent="0.25">
      <c r="B35" s="4" t="s">
        <v>64</v>
      </c>
      <c r="C35" s="13">
        <v>-1011418</v>
      </c>
      <c r="D35" s="13">
        <v>-1010410</v>
      </c>
      <c r="E35" s="13">
        <v>-1010423</v>
      </c>
      <c r="F35" s="13">
        <v>-1058481</v>
      </c>
      <c r="G35" s="13">
        <v>-1058502</v>
      </c>
      <c r="H35" s="13">
        <v>-1108496</v>
      </c>
      <c r="I35" s="13">
        <v>-1158369</v>
      </c>
      <c r="J35" s="13">
        <v>-1158366</v>
      </c>
      <c r="K35" s="13">
        <v>-1258362</v>
      </c>
      <c r="L35" s="79">
        <v>-1358279</v>
      </c>
    </row>
    <row r="36" spans="1:252" ht="16.149999999999999" customHeight="1" x14ac:dyDescent="0.25">
      <c r="A36" s="4"/>
      <c r="B36" s="4" t="s">
        <v>87</v>
      </c>
      <c r="C36" s="4">
        <f t="shared" ref="C36:G36" si="6">SUM(C31:C35)</f>
        <v>2971963</v>
      </c>
      <c r="D36" s="4">
        <f t="shared" si="6"/>
        <v>2959929</v>
      </c>
      <c r="E36" s="4">
        <f t="shared" si="6"/>
        <v>2776327</v>
      </c>
      <c r="F36" s="4">
        <f t="shared" si="6"/>
        <v>2863986</v>
      </c>
      <c r="G36" s="4">
        <f t="shared" si="6"/>
        <v>2820644</v>
      </c>
      <c r="H36" s="4">
        <f>SUM(H31:H35)</f>
        <v>2685496</v>
      </c>
      <c r="I36" s="4">
        <f>SUM(I31:I35)</f>
        <v>2575031</v>
      </c>
      <c r="J36" s="4">
        <f>SUM(J31:J35)</f>
        <v>2873773</v>
      </c>
      <c r="K36" s="4">
        <f>SUM(K31:K35)</f>
        <v>3113105</v>
      </c>
      <c r="L36" s="81">
        <f>SUM(L31:L35)</f>
        <v>3353022</v>
      </c>
    </row>
    <row r="37" spans="1:252" ht="16.149999999999999" customHeight="1" x14ac:dyDescent="0.25">
      <c r="A37" s="4" t="s">
        <v>140</v>
      </c>
      <c r="B37" s="4"/>
      <c r="C37" s="13">
        <f>162574-616-75</f>
        <v>161883</v>
      </c>
      <c r="D37" s="13">
        <f>218048-691-153</f>
        <v>217204</v>
      </c>
      <c r="E37" s="13">
        <f>211493-844+32</f>
        <v>210681</v>
      </c>
      <c r="F37" s="13">
        <f>225545-812+33</f>
        <v>224766</v>
      </c>
      <c r="G37" s="13">
        <f>190311-779-31</f>
        <v>189501</v>
      </c>
      <c r="H37" s="13">
        <v>198484</v>
      </c>
      <c r="I37" s="13">
        <v>209010</v>
      </c>
      <c r="J37" s="13">
        <v>224656</v>
      </c>
      <c r="K37" s="13">
        <v>235925</v>
      </c>
      <c r="L37" s="79">
        <v>252685</v>
      </c>
    </row>
    <row r="38" spans="1:252" ht="16.149999999999999" customHeight="1" thickBot="1" x14ac:dyDescent="0.3">
      <c r="A38" s="43" t="s">
        <v>141</v>
      </c>
      <c r="B38" s="14"/>
      <c r="C38" s="14">
        <f t="shared" ref="C38:G38" si="7">SUM(C36,C37)</f>
        <v>3133846</v>
      </c>
      <c r="D38" s="14">
        <f t="shared" si="7"/>
        <v>3177133</v>
      </c>
      <c r="E38" s="14">
        <f t="shared" si="7"/>
        <v>2987008</v>
      </c>
      <c r="F38" s="14">
        <f t="shared" si="7"/>
        <v>3088752</v>
      </c>
      <c r="G38" s="14">
        <f t="shared" si="7"/>
        <v>3010145</v>
      </c>
      <c r="H38" s="14">
        <f>SUM(H36,H37)</f>
        <v>2883980</v>
      </c>
      <c r="I38" s="14">
        <f>SUM(I36,I37)</f>
        <v>2784041</v>
      </c>
      <c r="J38" s="14">
        <f>SUM(J36,J37)</f>
        <v>3098429</v>
      </c>
      <c r="K38" s="14">
        <f>SUM(K36,K37)</f>
        <v>3349030</v>
      </c>
      <c r="L38" s="87">
        <f>SUM(L36,L37)</f>
        <v>3605707</v>
      </c>
    </row>
    <row r="39" spans="1:252" ht="18" customHeight="1" thickBot="1" x14ac:dyDescent="0.3">
      <c r="A39" s="14"/>
      <c r="B39" s="14" t="s">
        <v>86</v>
      </c>
      <c r="C39" s="14">
        <f t="shared" ref="C39:G39" si="8">SUM(C29,C38)</f>
        <v>4464854</v>
      </c>
      <c r="D39" s="14">
        <f t="shared" si="8"/>
        <v>4431720</v>
      </c>
      <c r="E39" s="14">
        <f t="shared" si="8"/>
        <v>5142279</v>
      </c>
      <c r="F39" s="14">
        <f t="shared" si="8"/>
        <v>5201626</v>
      </c>
      <c r="G39" s="14">
        <f t="shared" si="8"/>
        <v>4902955</v>
      </c>
      <c r="H39" s="14">
        <f>SUM(H29,H38)</f>
        <v>4771918</v>
      </c>
      <c r="I39" s="14">
        <f>SUM(I29,I38)</f>
        <v>4625614</v>
      </c>
      <c r="J39" s="14">
        <f>SUM(J29,J38)</f>
        <v>4750888</v>
      </c>
      <c r="K39" s="14">
        <f>SUM(K29,K38)</f>
        <v>5095530</v>
      </c>
      <c r="L39" s="87">
        <f>SUM(L29,L38)</f>
        <v>5416577</v>
      </c>
    </row>
    <row r="40" spans="1:252" ht="15.75" customHeight="1" x14ac:dyDescent="0.25">
      <c r="A40" s="44"/>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row>
    <row r="41" spans="1:252" s="17" customFormat="1" ht="15.75" customHeight="1" x14ac:dyDescent="0.25">
      <c r="A41" s="16" t="s">
        <v>68</v>
      </c>
      <c r="B41" s="106" t="s">
        <v>170</v>
      </c>
      <c r="C41" s="106"/>
      <c r="D41" s="106"/>
      <c r="E41" s="106"/>
      <c r="F41" s="106"/>
      <c r="G41" s="106"/>
      <c r="H41" s="106"/>
      <c r="I41" s="106"/>
      <c r="J41" s="106"/>
      <c r="K41" s="106"/>
      <c r="L41" s="106"/>
      <c r="M41" s="106"/>
      <c r="N41" s="106"/>
      <c r="O41" s="106"/>
      <c r="P41" s="106"/>
      <c r="Q41" s="106"/>
      <c r="R41" s="106"/>
    </row>
  </sheetData>
  <mergeCells count="1">
    <mergeCell ref="B41:R41"/>
  </mergeCells>
  <phoneticPr fontId="2"/>
  <printOptions horizontalCentered="1"/>
  <pageMargins left="0.43307086614173229" right="0.47244094488188981" top="0.39370078740157483" bottom="0.19685039370078741" header="0.31496062992125984" footer="0.19685039370078741"/>
  <pageSetup paperSize="9" scale="74" orientation="landscape" blackAndWhite="1" r:id="rId1"/>
  <headerFooter differentFirst="1" scaleWithDoc="0" alignWithMargins="0">
    <oddFooter>&amp;R-&amp;A-</oddFooter>
  </headerFooter>
  <ignoredErrors>
    <ignoredError sqref="C15:L3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9"/>
  <sheetViews>
    <sheetView showGridLines="0" view="pageBreakPreview" zoomScale="115" zoomScaleNormal="100" zoomScaleSheetLayoutView="115" workbookViewId="0">
      <pane xSplit="3" ySplit="2" topLeftCell="D33" activePane="bottomRight" state="frozen"/>
      <selection activeCell="E13" sqref="E13"/>
      <selection pane="topRight" activeCell="E13" sqref="E13"/>
      <selection pane="bottomLeft" activeCell="E13" sqref="E13"/>
      <selection pane="bottomRight" activeCell="E13" sqref="E13"/>
    </sheetView>
  </sheetViews>
  <sheetFormatPr defaultColWidth="10.75" defaultRowHeight="16.149999999999999" customHeight="1" x14ac:dyDescent="0.25"/>
  <cols>
    <col min="1" max="2" width="3.375" style="2" customWidth="1"/>
    <col min="3" max="3" width="36.875" style="2" customWidth="1"/>
    <col min="4" max="13" width="11.875" style="2" bestFit="1" customWidth="1"/>
    <col min="14" max="16384" width="10.75" style="2"/>
  </cols>
  <sheetData>
    <row r="1" spans="1:13" ht="30" customHeight="1" x14ac:dyDescent="0.35">
      <c r="A1" s="1" t="s">
        <v>150</v>
      </c>
      <c r="B1" s="1"/>
      <c r="D1" s="3"/>
      <c r="E1" s="3"/>
    </row>
    <row r="2" spans="1:13" s="6" customFormat="1" ht="16.5" x14ac:dyDescent="0.25">
      <c r="A2" s="4"/>
      <c r="B2" s="4"/>
      <c r="C2" s="5"/>
      <c r="D2" s="5">
        <v>2014</v>
      </c>
      <c r="E2" s="5">
        <v>2015</v>
      </c>
      <c r="F2" s="5">
        <v>2016</v>
      </c>
      <c r="G2" s="5">
        <v>2017</v>
      </c>
      <c r="H2" s="5">
        <v>2018</v>
      </c>
      <c r="I2" s="5">
        <v>2019</v>
      </c>
      <c r="J2" s="5">
        <v>2020</v>
      </c>
      <c r="K2" s="5">
        <v>2021</v>
      </c>
      <c r="L2" s="5">
        <v>2022</v>
      </c>
      <c r="M2" s="5">
        <v>2023</v>
      </c>
    </row>
    <row r="3" spans="1:13" s="6" customFormat="1" ht="16.149999999999999" customHeight="1" x14ac:dyDescent="0.25">
      <c r="A3" s="8" t="s">
        <v>3</v>
      </c>
      <c r="B3" s="7"/>
      <c r="C3" s="7"/>
    </row>
    <row r="4" spans="1:13" s="6" customFormat="1" ht="16.149999999999999" customHeight="1" x14ac:dyDescent="0.25">
      <c r="A4" s="2" t="s">
        <v>38</v>
      </c>
      <c r="B4" s="7"/>
      <c r="C4" s="7"/>
    </row>
    <row r="5" spans="1:13" ht="16.149999999999999" customHeight="1" x14ac:dyDescent="0.25">
      <c r="A5" s="15"/>
      <c r="B5" s="15" t="s">
        <v>142</v>
      </c>
      <c r="C5" s="4"/>
      <c r="D5" s="13">
        <f>'1 '!C19</f>
        <v>264993</v>
      </c>
      <c r="E5" s="13">
        <f>'1 '!D19</f>
        <v>230914</v>
      </c>
      <c r="F5" s="13">
        <f>'1 '!E19</f>
        <v>161686</v>
      </c>
      <c r="G5" s="13">
        <f>'1 '!F19</f>
        <v>256051</v>
      </c>
      <c r="H5" s="13">
        <f>'1 '!G19</f>
        <v>266397</v>
      </c>
      <c r="I5" s="13">
        <v>139347</v>
      </c>
      <c r="J5" s="13">
        <v>95943</v>
      </c>
      <c r="K5" s="13">
        <v>230840</v>
      </c>
      <c r="L5" s="13">
        <v>260084</v>
      </c>
      <c r="M5" s="79">
        <v>284421</v>
      </c>
    </row>
    <row r="6" spans="1:13" ht="16.149999999999999" customHeight="1" x14ac:dyDescent="0.25">
      <c r="A6" s="15"/>
      <c r="B6" s="45" t="s">
        <v>96</v>
      </c>
      <c r="M6" s="19"/>
    </row>
    <row r="7" spans="1:13" ht="16.149999999999999" customHeight="1" x14ac:dyDescent="0.25">
      <c r="C7" s="2" t="s">
        <v>39</v>
      </c>
      <c r="D7" s="11">
        <v>263480</v>
      </c>
      <c r="E7" s="11">
        <v>273327</v>
      </c>
      <c r="F7" s="11">
        <v>250096</v>
      </c>
      <c r="G7" s="11">
        <v>261881</v>
      </c>
      <c r="H7" s="11">
        <v>251554</v>
      </c>
      <c r="I7" s="11">
        <v>237327</v>
      </c>
      <c r="J7" s="11">
        <v>227825</v>
      </c>
      <c r="K7" s="11">
        <v>221246</v>
      </c>
      <c r="L7" s="11">
        <v>226492</v>
      </c>
      <c r="M7" s="78">
        <v>238676</v>
      </c>
    </row>
    <row r="8" spans="1:13" ht="16.149999999999999" customHeight="1" x14ac:dyDescent="0.25">
      <c r="C8" s="2" t="s">
        <v>82</v>
      </c>
      <c r="D8" s="11">
        <v>12429</v>
      </c>
      <c r="E8" s="11">
        <v>7975</v>
      </c>
      <c r="F8" s="11">
        <v>5203</v>
      </c>
      <c r="G8" s="11">
        <v>6935</v>
      </c>
      <c r="H8" s="11">
        <v>5726</v>
      </c>
      <c r="I8" s="11">
        <v>5991</v>
      </c>
      <c r="J8" s="11">
        <v>4326</v>
      </c>
      <c r="K8" s="11">
        <v>7745</v>
      </c>
      <c r="L8" s="11">
        <v>-6458</v>
      </c>
      <c r="M8" s="78">
        <v>4025</v>
      </c>
    </row>
    <row r="9" spans="1:13" ht="16.149999999999999" customHeight="1" x14ac:dyDescent="0.25">
      <c r="C9" s="2" t="s">
        <v>76</v>
      </c>
      <c r="D9" s="11">
        <f>8929-150</f>
        <v>8779</v>
      </c>
      <c r="E9" s="11">
        <f>4672+290</f>
        <v>4962</v>
      </c>
      <c r="F9" s="11">
        <f>7188+197</f>
        <v>7385</v>
      </c>
      <c r="G9" s="11">
        <f>-17603+415</f>
        <v>-17188</v>
      </c>
      <c r="H9" s="11">
        <f>-11849-155</f>
        <v>-12004</v>
      </c>
      <c r="I9" s="11">
        <v>-6523</v>
      </c>
      <c r="J9" s="11">
        <v>-15542</v>
      </c>
      <c r="K9" s="11">
        <v>-9826</v>
      </c>
      <c r="L9" s="11">
        <v>-7800</v>
      </c>
      <c r="M9" s="78">
        <v>-10353</v>
      </c>
    </row>
    <row r="10" spans="1:13" ht="16.149999999999999" customHeight="1" x14ac:dyDescent="0.25">
      <c r="C10" s="2" t="s">
        <v>83</v>
      </c>
      <c r="D10" s="11">
        <v>9323</v>
      </c>
      <c r="E10" s="11">
        <v>22720</v>
      </c>
      <c r="F10" s="11">
        <v>-4155</v>
      </c>
      <c r="G10" s="11">
        <v>3563</v>
      </c>
      <c r="H10" s="11">
        <v>-17724</v>
      </c>
      <c r="I10" s="11">
        <v>43504</v>
      </c>
      <c r="J10" s="11">
        <v>15120</v>
      </c>
      <c r="K10" s="11">
        <v>44678</v>
      </c>
      <c r="L10" s="11">
        <v>-78203</v>
      </c>
      <c r="M10" s="78">
        <v>16625</v>
      </c>
    </row>
    <row r="11" spans="1:13" ht="16.149999999999999" customHeight="1" x14ac:dyDescent="0.25">
      <c r="C11" s="2" t="s">
        <v>97</v>
      </c>
      <c r="D11" s="11">
        <v>59004</v>
      </c>
      <c r="E11" s="11">
        <v>14249</v>
      </c>
      <c r="F11" s="11">
        <v>6156</v>
      </c>
      <c r="G11" s="11">
        <v>2967</v>
      </c>
      <c r="H11" s="11">
        <v>-61755</v>
      </c>
      <c r="I11" s="11">
        <v>19895</v>
      </c>
      <c r="J11" s="11">
        <v>16075</v>
      </c>
      <c r="K11" s="11">
        <v>-61017</v>
      </c>
      <c r="L11" s="11">
        <v>-108510</v>
      </c>
      <c r="M11" s="78">
        <v>65595</v>
      </c>
    </row>
    <row r="12" spans="1:13" ht="16.149999999999999" customHeight="1" x14ac:dyDescent="0.25">
      <c r="C12" s="2" t="s">
        <v>84</v>
      </c>
      <c r="D12" s="11">
        <v>-24620</v>
      </c>
      <c r="E12" s="11">
        <v>-17288</v>
      </c>
      <c r="F12" s="11">
        <v>56844</v>
      </c>
      <c r="G12" s="11">
        <v>4951</v>
      </c>
      <c r="H12" s="11">
        <v>-31212</v>
      </c>
      <c r="I12" s="11">
        <v>-35509</v>
      </c>
      <c r="J12" s="11">
        <v>-4636</v>
      </c>
      <c r="K12" s="11">
        <v>52138</v>
      </c>
      <c r="L12" s="11">
        <v>3293</v>
      </c>
      <c r="M12" s="78">
        <v>-57631</v>
      </c>
    </row>
    <row r="13" spans="1:13" ht="16.149999999999999" customHeight="1" x14ac:dyDescent="0.25">
      <c r="C13" s="2" t="s">
        <v>85</v>
      </c>
      <c r="D13" s="11">
        <v>3586</v>
      </c>
      <c r="E13" s="11">
        <v>-8731</v>
      </c>
      <c r="F13" s="11">
        <v>-16456</v>
      </c>
      <c r="G13" s="11">
        <v>46296</v>
      </c>
      <c r="H13" s="11">
        <v>-35284</v>
      </c>
      <c r="I13" s="11">
        <v>-22279</v>
      </c>
      <c r="J13" s="11">
        <v>43</v>
      </c>
      <c r="K13" s="11">
        <v>24017</v>
      </c>
      <c r="L13" s="11">
        <v>3472</v>
      </c>
      <c r="M13" s="78">
        <v>6880</v>
      </c>
    </row>
    <row r="14" spans="1:13" ht="16.149999999999999" customHeight="1" x14ac:dyDescent="0.25">
      <c r="C14" s="2" t="s">
        <v>98</v>
      </c>
      <c r="D14" s="11">
        <f>11124+396</f>
        <v>11520</v>
      </c>
      <c r="E14" s="11">
        <f>-25529+129</f>
        <v>-25400</v>
      </c>
      <c r="F14" s="11">
        <f>-5256+87</f>
        <v>-5169</v>
      </c>
      <c r="G14" s="11">
        <f>18503-606</f>
        <v>17897</v>
      </c>
      <c r="H14" s="11">
        <f>2541+500</f>
        <v>3041</v>
      </c>
      <c r="I14" s="11">
        <v>9738</v>
      </c>
      <c r="J14" s="11">
        <v>-16413</v>
      </c>
      <c r="K14" s="11">
        <v>-8673</v>
      </c>
      <c r="L14" s="11">
        <v>23407</v>
      </c>
      <c r="M14" s="78">
        <v>-16083</v>
      </c>
    </row>
    <row r="15" spans="1:13" ht="16.149999999999999" customHeight="1" x14ac:dyDescent="0.25">
      <c r="C15" s="4" t="s">
        <v>143</v>
      </c>
      <c r="D15" s="13">
        <v>-24567</v>
      </c>
      <c r="E15" s="13">
        <v>-28004</v>
      </c>
      <c r="F15" s="13">
        <v>38693</v>
      </c>
      <c r="G15" s="13">
        <v>7204</v>
      </c>
      <c r="H15" s="13">
        <v>-3446</v>
      </c>
      <c r="I15" s="13">
        <v>-33030</v>
      </c>
      <c r="J15" s="13">
        <v>11064</v>
      </c>
      <c r="K15" s="13">
        <v>-50120</v>
      </c>
      <c r="L15" s="13">
        <v>-53174</v>
      </c>
      <c r="M15" s="79">
        <v>-80965</v>
      </c>
    </row>
    <row r="16" spans="1:13" ht="16.149999999999999" customHeight="1" x14ac:dyDescent="0.25">
      <c r="A16" s="4"/>
      <c r="B16" s="46"/>
      <c r="C16" s="4" t="s">
        <v>166</v>
      </c>
      <c r="D16" s="4">
        <f t="shared" ref="D16:I16" si="0">SUM(D5,D7:D15)</f>
        <v>583927</v>
      </c>
      <c r="E16" s="4">
        <f t="shared" si="0"/>
        <v>474724</v>
      </c>
      <c r="F16" s="4">
        <f t="shared" si="0"/>
        <v>500283</v>
      </c>
      <c r="G16" s="4">
        <f t="shared" si="0"/>
        <v>590557</v>
      </c>
      <c r="H16" s="4">
        <f t="shared" si="0"/>
        <v>365293</v>
      </c>
      <c r="I16" s="4">
        <f t="shared" si="0"/>
        <v>358461</v>
      </c>
      <c r="J16" s="4">
        <f>SUM(J5,J7:J15)</f>
        <v>333805</v>
      </c>
      <c r="K16" s="4">
        <f>SUM(K5,K7:K15)</f>
        <v>451028</v>
      </c>
      <c r="L16" s="4">
        <f>SUM(L5,L7:L15)</f>
        <v>262603</v>
      </c>
      <c r="M16" s="81">
        <f>SUM(M5,M7:M15)</f>
        <v>451190</v>
      </c>
    </row>
    <row r="17" spans="1:13" ht="16.149999999999999" customHeight="1" x14ac:dyDescent="0.25">
      <c r="A17" s="2" t="s">
        <v>40</v>
      </c>
      <c r="M17" s="19"/>
    </row>
    <row r="18" spans="1:13" ht="16.149999999999999" customHeight="1" x14ac:dyDescent="0.25">
      <c r="C18" s="2" t="s">
        <v>127</v>
      </c>
      <c r="D18" s="11">
        <v>-218362</v>
      </c>
      <c r="E18" s="11">
        <v>-252948</v>
      </c>
      <c r="F18" s="11">
        <v>-206971</v>
      </c>
      <c r="G18" s="11">
        <v>-189484</v>
      </c>
      <c r="H18" s="11">
        <v>-191399</v>
      </c>
      <c r="I18" s="11">
        <v>-215671</v>
      </c>
      <c r="J18" s="11">
        <v>-164719</v>
      </c>
      <c r="K18" s="11">
        <v>-177350</v>
      </c>
      <c r="L18" s="11">
        <v>-188527</v>
      </c>
      <c r="M18" s="78">
        <v>-230308</v>
      </c>
    </row>
    <row r="19" spans="1:13" ht="16.149999999999999" customHeight="1" x14ac:dyDescent="0.25">
      <c r="C19" s="2" t="s">
        <v>128</v>
      </c>
      <c r="D19" s="11">
        <v>3994</v>
      </c>
      <c r="E19" s="11">
        <v>3824</v>
      </c>
      <c r="F19" s="11">
        <v>6177</v>
      </c>
      <c r="G19" s="11">
        <v>26444</v>
      </c>
      <c r="H19" s="11">
        <v>9634</v>
      </c>
      <c r="I19" s="11">
        <v>885</v>
      </c>
      <c r="J19" s="11">
        <v>7815</v>
      </c>
      <c r="K19" s="11">
        <v>3796</v>
      </c>
      <c r="L19" s="11">
        <v>14733</v>
      </c>
      <c r="M19" s="78">
        <v>3670</v>
      </c>
    </row>
    <row r="20" spans="1:13" ht="16.149999999999999" customHeight="1" x14ac:dyDescent="0.25">
      <c r="C20" s="2" t="s">
        <v>41</v>
      </c>
      <c r="D20" s="11">
        <v>-311</v>
      </c>
      <c r="E20" s="11">
        <v>-98</v>
      </c>
      <c r="F20" s="11">
        <v>-84</v>
      </c>
      <c r="G20" s="11">
        <v>-2220</v>
      </c>
      <c r="H20" s="11">
        <v>-2311</v>
      </c>
      <c r="I20" s="11">
        <v>-4907</v>
      </c>
      <c r="J20" s="11">
        <v>-592</v>
      </c>
      <c r="K20" s="11">
        <v>-4378</v>
      </c>
      <c r="L20" s="11">
        <v>-19407</v>
      </c>
      <c r="M20" s="78">
        <v>-11755</v>
      </c>
    </row>
    <row r="21" spans="1:13" ht="16.149999999999999" customHeight="1" x14ac:dyDescent="0.25">
      <c r="C21" s="2" t="s">
        <v>42</v>
      </c>
      <c r="D21" s="11">
        <v>2606</v>
      </c>
      <c r="E21" s="11">
        <v>804</v>
      </c>
      <c r="F21" s="11">
        <v>1181</v>
      </c>
      <c r="G21" s="11">
        <v>970</v>
      </c>
      <c r="H21" s="11">
        <v>1615</v>
      </c>
      <c r="I21" s="11">
        <v>828</v>
      </c>
      <c r="J21" s="11">
        <v>558</v>
      </c>
      <c r="K21" s="11">
        <v>1714</v>
      </c>
      <c r="L21" s="11">
        <v>7680</v>
      </c>
      <c r="M21" s="78">
        <v>16582</v>
      </c>
    </row>
    <row r="22" spans="1:13" ht="16.149999999999999" customHeight="1" x14ac:dyDescent="0.25">
      <c r="C22" s="2" t="s">
        <v>147</v>
      </c>
      <c r="D22" s="11">
        <v>-54772</v>
      </c>
      <c r="E22" s="11">
        <v>-251534</v>
      </c>
      <c r="F22" s="11">
        <v>-649570</v>
      </c>
      <c r="G22" s="11">
        <v>-6557</v>
      </c>
      <c r="H22" s="11">
        <v>-13346</v>
      </c>
      <c r="I22" s="11">
        <v>-8880</v>
      </c>
      <c r="J22" s="11">
        <v>-127</v>
      </c>
      <c r="K22" s="11">
        <v>-31751</v>
      </c>
      <c r="L22" s="11">
        <v>-5890</v>
      </c>
      <c r="M22" s="78">
        <v>-54570</v>
      </c>
    </row>
    <row r="23" spans="1:13" ht="16.149999999999999" customHeight="1" x14ac:dyDescent="0.25">
      <c r="C23" s="4" t="s">
        <v>12</v>
      </c>
      <c r="D23" s="13">
        <v>-2453</v>
      </c>
      <c r="E23" s="13">
        <v>46333</v>
      </c>
      <c r="F23" s="13">
        <v>12142</v>
      </c>
      <c r="G23" s="13">
        <v>5837</v>
      </c>
      <c r="H23" s="13">
        <v>192</v>
      </c>
      <c r="I23" s="13">
        <v>-823</v>
      </c>
      <c r="J23" s="13">
        <v>1626</v>
      </c>
      <c r="K23" s="13">
        <v>713</v>
      </c>
      <c r="L23" s="13">
        <v>10591</v>
      </c>
      <c r="M23" s="79">
        <v>1009</v>
      </c>
    </row>
    <row r="24" spans="1:13" ht="16.149999999999999" customHeight="1" x14ac:dyDescent="0.25">
      <c r="A24" s="4"/>
      <c r="B24" s="46"/>
      <c r="C24" s="4" t="s">
        <v>167</v>
      </c>
      <c r="D24" s="4">
        <f t="shared" ref="D24:H24" si="1">SUM(D18:D23)</f>
        <v>-269298</v>
      </c>
      <c r="E24" s="4">
        <f t="shared" si="1"/>
        <v>-453619</v>
      </c>
      <c r="F24" s="4">
        <f t="shared" si="1"/>
        <v>-837125</v>
      </c>
      <c r="G24" s="4">
        <f t="shared" si="1"/>
        <v>-165010</v>
      </c>
      <c r="H24" s="4">
        <f t="shared" si="1"/>
        <v>-195615</v>
      </c>
      <c r="I24" s="4">
        <f>SUM(I18:I23)</f>
        <v>-228568</v>
      </c>
      <c r="J24" s="4">
        <f>SUM(J18:J23)</f>
        <v>-155439</v>
      </c>
      <c r="K24" s="4">
        <f>SUM(K18:K23)</f>
        <v>-207256</v>
      </c>
      <c r="L24" s="4">
        <f>SUM(L18:L23)</f>
        <v>-180820</v>
      </c>
      <c r="M24" s="81">
        <f>SUM(M18:M23)</f>
        <v>-275372</v>
      </c>
    </row>
    <row r="25" spans="1:13" ht="16.149999999999999" customHeight="1" x14ac:dyDescent="0.25">
      <c r="A25" s="2" t="s">
        <v>43</v>
      </c>
      <c r="M25" s="19"/>
    </row>
    <row r="26" spans="1:13" ht="16.149999999999999" customHeight="1" x14ac:dyDescent="0.25">
      <c r="C26" s="2" t="s">
        <v>44</v>
      </c>
      <c r="D26" s="11">
        <v>1377</v>
      </c>
      <c r="E26" s="11">
        <v>717</v>
      </c>
      <c r="F26" s="11">
        <v>610552</v>
      </c>
      <c r="G26" s="11">
        <v>1570</v>
      </c>
      <c r="H26" s="11">
        <v>439</v>
      </c>
      <c r="I26" s="12" t="s">
        <v>67</v>
      </c>
      <c r="J26" s="12">
        <v>2100</v>
      </c>
      <c r="K26" s="12">
        <v>175100</v>
      </c>
      <c r="L26" s="12">
        <v>300</v>
      </c>
      <c r="M26" s="90" t="s">
        <v>133</v>
      </c>
    </row>
    <row r="27" spans="1:13" ht="16.149999999999999" customHeight="1" x14ac:dyDescent="0.25">
      <c r="C27" s="2" t="s">
        <v>45</v>
      </c>
      <c r="D27" s="11">
        <v>-2152</v>
      </c>
      <c r="E27" s="11">
        <v>-1350</v>
      </c>
      <c r="F27" s="11">
        <v>-856</v>
      </c>
      <c r="G27" s="11">
        <v>-126578</v>
      </c>
      <c r="H27" s="11">
        <v>-136094</v>
      </c>
      <c r="I27" s="11">
        <v>-8678</v>
      </c>
      <c r="J27" s="11">
        <v>-11095</v>
      </c>
      <c r="K27" s="11">
        <v>-347029</v>
      </c>
      <c r="L27" s="11">
        <v>-122067</v>
      </c>
      <c r="M27" s="78">
        <v>-55893</v>
      </c>
    </row>
    <row r="28" spans="1:13" ht="16.149999999999999" customHeight="1" x14ac:dyDescent="0.25">
      <c r="C28" s="2" t="s">
        <v>99</v>
      </c>
      <c r="D28" s="11">
        <v>-54</v>
      </c>
      <c r="E28" s="12" t="s">
        <v>67</v>
      </c>
      <c r="F28" s="12">
        <v>-80580</v>
      </c>
      <c r="G28" s="12">
        <v>5628</v>
      </c>
      <c r="H28" s="12">
        <v>2501</v>
      </c>
      <c r="I28" s="12">
        <v>4913</v>
      </c>
      <c r="J28" s="12">
        <v>5100</v>
      </c>
      <c r="K28" s="12">
        <v>-2700</v>
      </c>
      <c r="L28" s="12">
        <v>-1100</v>
      </c>
      <c r="M28" s="90">
        <v>-2300</v>
      </c>
    </row>
    <row r="29" spans="1:13" ht="16.149999999999999" customHeight="1" x14ac:dyDescent="0.25">
      <c r="C29" s="2" t="s">
        <v>46</v>
      </c>
      <c r="D29" s="11">
        <v>-145790</v>
      </c>
      <c r="E29" s="11">
        <v>-174711</v>
      </c>
      <c r="F29" s="11">
        <v>-163810</v>
      </c>
      <c r="G29" s="11">
        <v>-162887</v>
      </c>
      <c r="H29" s="11">
        <v>-178159</v>
      </c>
      <c r="I29" s="11">
        <v>-171487</v>
      </c>
      <c r="J29" s="11">
        <v>-126938</v>
      </c>
      <c r="K29" s="11">
        <v>-88891</v>
      </c>
      <c r="L29" s="11">
        <v>-119326</v>
      </c>
      <c r="M29" s="78">
        <v>-130870</v>
      </c>
    </row>
    <row r="30" spans="1:13" ht="16.149999999999999" customHeight="1" x14ac:dyDescent="0.25">
      <c r="C30" s="4" t="s">
        <v>12</v>
      </c>
      <c r="D30" s="13">
        <v>-154267</v>
      </c>
      <c r="E30" s="13">
        <v>-34858</v>
      </c>
      <c r="F30" s="13">
        <v>-9614</v>
      </c>
      <c r="G30" s="13">
        <v>-58197</v>
      </c>
      <c r="H30" s="13">
        <v>-43517</v>
      </c>
      <c r="I30" s="13">
        <v>-57338</v>
      </c>
      <c r="J30" s="13">
        <v>-52616</v>
      </c>
      <c r="K30" s="13">
        <v>-3846</v>
      </c>
      <c r="L30" s="13">
        <v>95349</v>
      </c>
      <c r="M30" s="79">
        <v>32334</v>
      </c>
    </row>
    <row r="31" spans="1:13" ht="16.149999999999999" customHeight="1" x14ac:dyDescent="0.25">
      <c r="A31" s="4"/>
      <c r="B31" s="46"/>
      <c r="C31" s="4" t="s">
        <v>47</v>
      </c>
      <c r="D31" s="4">
        <f t="shared" ref="D31" si="2">SUM(D26:D30)</f>
        <v>-300886</v>
      </c>
      <c r="E31" s="4">
        <f>SUM(E26:E30)</f>
        <v>-210202</v>
      </c>
      <c r="F31" s="4">
        <f t="shared" ref="F31:G31" si="3">SUM(F26:F30)</f>
        <v>355692</v>
      </c>
      <c r="G31" s="4">
        <f t="shared" si="3"/>
        <v>-340464</v>
      </c>
      <c r="H31" s="4">
        <f t="shared" ref="H31:M31" si="4">SUM(H26:H30)</f>
        <v>-354830</v>
      </c>
      <c r="I31" s="4">
        <f t="shared" si="4"/>
        <v>-232590</v>
      </c>
      <c r="J31" s="4">
        <f t="shared" si="4"/>
        <v>-183449</v>
      </c>
      <c r="K31" s="4">
        <f t="shared" si="4"/>
        <v>-267366</v>
      </c>
      <c r="L31" s="4">
        <f t="shared" si="4"/>
        <v>-146844</v>
      </c>
      <c r="M31" s="81">
        <f t="shared" si="4"/>
        <v>-156729</v>
      </c>
    </row>
    <row r="32" spans="1:13" ht="16.149999999999999" customHeight="1" x14ac:dyDescent="0.25">
      <c r="A32" s="4" t="s">
        <v>77</v>
      </c>
      <c r="B32" s="4"/>
      <c r="C32" s="4"/>
      <c r="D32" s="13">
        <v>41928</v>
      </c>
      <c r="E32" s="13">
        <v>-21870</v>
      </c>
      <c r="F32" s="13">
        <v>-22270</v>
      </c>
      <c r="G32" s="13">
        <v>6538</v>
      </c>
      <c r="H32" s="13">
        <v>-16017</v>
      </c>
      <c r="I32" s="13">
        <v>-5134</v>
      </c>
      <c r="J32" s="13">
        <v>-47</v>
      </c>
      <c r="K32" s="13">
        <v>17305</v>
      </c>
      <c r="L32" s="13">
        <v>25767</v>
      </c>
      <c r="M32" s="79">
        <v>20133</v>
      </c>
    </row>
    <row r="33" spans="1:18" ht="16.149999999999999" customHeight="1" x14ac:dyDescent="0.25">
      <c r="A33" s="2" t="s">
        <v>100</v>
      </c>
      <c r="D33" s="2">
        <f t="shared" ref="D33:F33" si="5">SUM(D16,D24,D31:D32)</f>
        <v>55671</v>
      </c>
      <c r="E33" s="2">
        <f t="shared" si="5"/>
        <v>-210967</v>
      </c>
      <c r="F33" s="2">
        <f t="shared" si="5"/>
        <v>-3420</v>
      </c>
      <c r="G33" s="2">
        <f>SUM(G16,G24,G31:G32)</f>
        <v>91621</v>
      </c>
      <c r="H33" s="2">
        <f>SUM(H16,H24,H31:H32)</f>
        <v>-201169</v>
      </c>
      <c r="I33" s="2">
        <f>SUM(I16,I24,I31:I32)</f>
        <v>-107831</v>
      </c>
      <c r="J33" s="2">
        <f>SUM(J16,J24,J31:J32)</f>
        <v>-5130</v>
      </c>
      <c r="K33" s="2">
        <f>SUM(K16,K24,K31:K32)</f>
        <v>-6289</v>
      </c>
      <c r="L33" s="2">
        <v>-39294</v>
      </c>
      <c r="M33" s="19">
        <v>39222</v>
      </c>
    </row>
    <row r="34" spans="1:18" ht="16.149999999999999" customHeight="1" x14ac:dyDescent="0.25">
      <c r="A34" s="4" t="s">
        <v>101</v>
      </c>
      <c r="B34" s="4"/>
      <c r="C34" s="4"/>
      <c r="D34" s="13">
        <v>788909</v>
      </c>
      <c r="E34" s="13">
        <v>844580</v>
      </c>
      <c r="F34" s="13">
        <v>633613</v>
      </c>
      <c r="G34" s="13">
        <v>630193</v>
      </c>
      <c r="H34" s="13">
        <v>721814</v>
      </c>
      <c r="I34" s="13">
        <v>520645</v>
      </c>
      <c r="J34" s="13">
        <v>412814</v>
      </c>
      <c r="K34" s="13">
        <v>407684</v>
      </c>
      <c r="L34" s="13">
        <v>401395</v>
      </c>
      <c r="M34" s="79">
        <v>362101</v>
      </c>
    </row>
    <row r="35" spans="1:18" ht="18" customHeight="1" thickBot="1" x14ac:dyDescent="0.3">
      <c r="A35" s="14" t="s">
        <v>102</v>
      </c>
      <c r="B35" s="14"/>
      <c r="C35" s="14"/>
      <c r="D35" s="14">
        <f t="shared" ref="D35:H35" si="6">SUM(D33:D34)</f>
        <v>844580</v>
      </c>
      <c r="E35" s="14">
        <f t="shared" si="6"/>
        <v>633613</v>
      </c>
      <c r="F35" s="14">
        <f t="shared" si="6"/>
        <v>630193</v>
      </c>
      <c r="G35" s="14">
        <f t="shared" si="6"/>
        <v>721814</v>
      </c>
      <c r="H35" s="14">
        <f t="shared" si="6"/>
        <v>520645</v>
      </c>
      <c r="I35" s="14">
        <f>SUM(I33:I34)</f>
        <v>412814</v>
      </c>
      <c r="J35" s="14">
        <f>SUM(J33:J34)</f>
        <v>407684</v>
      </c>
      <c r="K35" s="14">
        <f>SUM(K33:K34)</f>
        <v>401395</v>
      </c>
      <c r="L35" s="14">
        <f>SUM(L33:L34)</f>
        <v>362101</v>
      </c>
      <c r="M35" s="87">
        <f>SUM(M33:M34)</f>
        <v>401323</v>
      </c>
    </row>
    <row r="36" spans="1:18" ht="16.149999999999999" customHeight="1" x14ac:dyDescent="0.25">
      <c r="A36" s="15"/>
      <c r="B36" s="15"/>
      <c r="C36" s="15"/>
      <c r="D36" s="15"/>
      <c r="E36" s="15"/>
      <c r="F36" s="15"/>
      <c r="G36" s="15"/>
      <c r="H36" s="15"/>
      <c r="I36" s="15"/>
      <c r="J36" s="15"/>
      <c r="K36" s="15"/>
      <c r="L36" s="15"/>
      <c r="M36" s="83"/>
    </row>
    <row r="37" spans="1:18" ht="16.149999999999999" customHeight="1" thickBot="1" x14ac:dyDescent="0.3">
      <c r="A37" s="14" t="s">
        <v>168</v>
      </c>
      <c r="B37" s="14"/>
      <c r="C37" s="14"/>
      <c r="D37" s="14">
        <f t="shared" ref="D37:H37" si="7">D16+D24</f>
        <v>314629</v>
      </c>
      <c r="E37" s="14">
        <f t="shared" si="7"/>
        <v>21105</v>
      </c>
      <c r="F37" s="14">
        <f t="shared" si="7"/>
        <v>-336842</v>
      </c>
      <c r="G37" s="14">
        <f t="shared" si="7"/>
        <v>425547</v>
      </c>
      <c r="H37" s="14">
        <f t="shared" si="7"/>
        <v>169678</v>
      </c>
      <c r="I37" s="14">
        <f>I16+I24</f>
        <v>129893</v>
      </c>
      <c r="J37" s="14">
        <f>J16+J24</f>
        <v>178366</v>
      </c>
      <c r="K37" s="14">
        <f>K16+K24</f>
        <v>243772</v>
      </c>
      <c r="L37" s="14">
        <f>L16+L24</f>
        <v>81783</v>
      </c>
      <c r="M37" s="87">
        <f>M16+M24</f>
        <v>175818</v>
      </c>
    </row>
    <row r="38" spans="1:18" ht="19.5" customHeight="1" x14ac:dyDescent="0.25">
      <c r="A38" s="16" t="s">
        <v>68</v>
      </c>
      <c r="B38" s="106" t="s">
        <v>170</v>
      </c>
      <c r="C38" s="106"/>
      <c r="D38" s="106"/>
      <c r="E38" s="106"/>
      <c r="F38" s="106"/>
      <c r="G38" s="106"/>
      <c r="H38" s="106"/>
      <c r="I38" s="106"/>
      <c r="J38" s="106"/>
      <c r="K38" s="106"/>
      <c r="L38" s="106"/>
      <c r="M38" s="106"/>
      <c r="N38" s="106"/>
      <c r="O38" s="106"/>
      <c r="P38" s="106"/>
      <c r="Q38" s="106"/>
      <c r="R38" s="106"/>
    </row>
    <row r="39" spans="1:18" ht="16.149999999999999" customHeight="1" x14ac:dyDescent="0.25">
      <c r="A39" s="16"/>
      <c r="B39" s="106"/>
      <c r="C39" s="106"/>
      <c r="D39" s="106"/>
      <c r="E39" s="106"/>
      <c r="F39" s="106"/>
      <c r="G39" s="106"/>
      <c r="H39" s="106"/>
      <c r="I39" s="106"/>
      <c r="J39" s="106"/>
      <c r="K39" s="106"/>
      <c r="L39" s="106"/>
      <c r="M39" s="106"/>
      <c r="N39" s="106"/>
      <c r="O39" s="106"/>
      <c r="P39" s="106"/>
      <c r="Q39" s="106"/>
      <c r="R39" s="106"/>
    </row>
  </sheetData>
  <mergeCells count="2">
    <mergeCell ref="B39:R39"/>
    <mergeCell ref="B38:R38"/>
  </mergeCells>
  <phoneticPr fontId="2"/>
  <printOptions horizontalCentered="1"/>
  <pageMargins left="0.43307086614173229" right="0.47244094488188981" top="0.39370078740157483" bottom="0.19685039370078741" header="0.31496062992125984" footer="0.19685039370078741"/>
  <pageSetup paperSize="9" scale="79" orientation="landscape" blackAndWhite="1" r:id="rId1"/>
  <headerFooter differentFirst="1" scaleWithDoc="0"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5"/>
  <sheetViews>
    <sheetView showGridLines="0" showZeros="0" view="pageBreakPreview" zoomScale="115" zoomScaleNormal="100" zoomScaleSheetLayoutView="115" workbookViewId="0">
      <pane xSplit="2" ySplit="2" topLeftCell="C10" activePane="bottomRight" state="frozen"/>
      <selection activeCell="E13" sqref="E13"/>
      <selection pane="topRight" activeCell="E13" sqref="E13"/>
      <selection pane="bottomLeft" activeCell="E13" sqref="E13"/>
      <selection pane="bottomRight" activeCell="E13" sqref="E13"/>
    </sheetView>
  </sheetViews>
  <sheetFormatPr defaultColWidth="10.75" defaultRowHeight="16.149999999999999" customHeight="1" x14ac:dyDescent="0.25"/>
  <cols>
    <col min="1" max="1" width="3.375" style="2" customWidth="1"/>
    <col min="2" max="2" width="23" style="2" customWidth="1"/>
    <col min="3" max="4" width="12.25" style="2" customWidth="1"/>
    <col min="5" max="9" width="13.125" style="2" bestFit="1" customWidth="1"/>
    <col min="10" max="10" width="5.5" style="2" customWidth="1"/>
    <col min="11" max="11" width="6.75" style="2" customWidth="1"/>
    <col min="12" max="12" width="10.75" style="2"/>
    <col min="13" max="15" width="13.125" style="2" customWidth="1"/>
    <col min="16" max="16384" width="10.75" style="2"/>
  </cols>
  <sheetData>
    <row r="1" spans="1:15" ht="36" customHeight="1" x14ac:dyDescent="0.35">
      <c r="A1" s="1" t="s">
        <v>189</v>
      </c>
      <c r="C1" s="3"/>
      <c r="D1" s="3"/>
    </row>
    <row r="2" spans="1:15" s="6" customFormat="1" ht="19.5" customHeight="1" x14ac:dyDescent="0.25">
      <c r="A2" s="4"/>
      <c r="B2" s="5"/>
      <c r="C2" s="5">
        <v>2014</v>
      </c>
      <c r="D2" s="5">
        <v>2015</v>
      </c>
      <c r="E2" s="5">
        <v>2016</v>
      </c>
      <c r="F2" s="5">
        <v>2017</v>
      </c>
      <c r="G2" s="5">
        <v>2018</v>
      </c>
      <c r="H2" s="5">
        <v>2019</v>
      </c>
      <c r="I2" s="5">
        <v>2020</v>
      </c>
      <c r="M2" s="7">
        <v>2021</v>
      </c>
      <c r="N2" s="7">
        <v>2022</v>
      </c>
      <c r="O2" s="7">
        <v>2023</v>
      </c>
    </row>
    <row r="3" spans="1:15" s="6" customFormat="1" ht="19.899999999999999" customHeight="1" x14ac:dyDescent="0.25">
      <c r="A3" s="9"/>
      <c r="B3" s="9" t="s">
        <v>3</v>
      </c>
      <c r="C3" s="10"/>
      <c r="D3" s="10"/>
      <c r="E3" s="10"/>
      <c r="F3" s="10"/>
      <c r="G3" s="10"/>
      <c r="H3" s="10"/>
      <c r="I3" s="10"/>
      <c r="K3" s="76"/>
      <c r="L3" s="9"/>
      <c r="M3" s="76"/>
      <c r="N3" s="10"/>
      <c r="O3" s="10"/>
    </row>
    <row r="4" spans="1:15" s="6" customFormat="1" ht="19.899999999999999" customHeight="1" x14ac:dyDescent="0.25">
      <c r="A4" s="8"/>
      <c r="B4" s="8"/>
      <c r="K4" s="8"/>
      <c r="L4" s="8"/>
    </row>
    <row r="5" spans="1:15" ht="19.899999999999999" customHeight="1" x14ac:dyDescent="0.25">
      <c r="A5" s="2" t="s">
        <v>116</v>
      </c>
      <c r="B5" s="8"/>
      <c r="C5" s="2">
        <v>2078732</v>
      </c>
      <c r="D5" s="2">
        <v>2110816</v>
      </c>
      <c r="E5" s="2">
        <v>1807819</v>
      </c>
      <c r="F5" s="2">
        <v>1865928</v>
      </c>
      <c r="G5" s="2">
        <v>1868355</v>
      </c>
      <c r="H5" s="2">
        <v>1752107</v>
      </c>
      <c r="I5" s="2">
        <v>1440212</v>
      </c>
      <c r="K5" s="2" t="s">
        <v>151</v>
      </c>
      <c r="L5" s="8"/>
      <c r="M5" s="2">
        <v>1946656</v>
      </c>
      <c r="N5" s="2">
        <v>2272610</v>
      </c>
      <c r="O5" s="19">
        <v>2346076</v>
      </c>
    </row>
    <row r="6" spans="1:15" ht="19.899999999999999" customHeight="1" x14ac:dyDescent="0.25">
      <c r="A6" s="2" t="s">
        <v>132</v>
      </c>
      <c r="C6" s="12" t="s">
        <v>67</v>
      </c>
      <c r="D6" s="12" t="s">
        <v>67</v>
      </c>
      <c r="E6" s="12" t="s">
        <v>67</v>
      </c>
      <c r="F6" s="12">
        <v>436187</v>
      </c>
      <c r="G6" s="11">
        <v>437578</v>
      </c>
      <c r="H6" s="11">
        <v>438525</v>
      </c>
      <c r="I6" s="11">
        <v>436074</v>
      </c>
      <c r="K6" s="2" t="s">
        <v>153</v>
      </c>
      <c r="M6" s="11">
        <v>480362</v>
      </c>
      <c r="N6" s="11">
        <v>513331</v>
      </c>
      <c r="O6" s="78">
        <v>553780</v>
      </c>
    </row>
    <row r="7" spans="1:15" ht="19.899999999999999" customHeight="1" x14ac:dyDescent="0.25">
      <c r="A7" s="2" t="s">
        <v>126</v>
      </c>
      <c r="C7" s="11">
        <v>1343194</v>
      </c>
      <c r="D7" s="11">
        <v>1263835</v>
      </c>
      <c r="E7" s="11">
        <v>1095289</v>
      </c>
      <c r="F7" s="11">
        <v>1099125</v>
      </c>
      <c r="G7" s="11">
        <v>970435</v>
      </c>
      <c r="H7" s="11">
        <v>807414</v>
      </c>
      <c r="I7" s="11">
        <v>712238</v>
      </c>
      <c r="K7" s="2" t="s">
        <v>152</v>
      </c>
      <c r="M7" s="11">
        <v>653532</v>
      </c>
      <c r="N7" s="11">
        <v>803480</v>
      </c>
      <c r="O7" s="78">
        <v>861625</v>
      </c>
    </row>
    <row r="8" spans="1:15" ht="19.899999999999999" customHeight="1" x14ac:dyDescent="0.25">
      <c r="A8" s="2" t="s">
        <v>107</v>
      </c>
      <c r="C8" s="11">
        <v>398765</v>
      </c>
      <c r="D8" s="11">
        <v>524651</v>
      </c>
      <c r="E8" s="11">
        <v>584660</v>
      </c>
      <c r="F8" s="11">
        <v>768767</v>
      </c>
      <c r="G8" s="11">
        <v>781887</v>
      </c>
      <c r="H8" s="11">
        <v>688433</v>
      </c>
      <c r="I8" s="11">
        <v>654813</v>
      </c>
      <c r="K8" s="2" t="s">
        <v>179</v>
      </c>
      <c r="M8" s="11">
        <v>337721</v>
      </c>
      <c r="N8" s="11">
        <v>329232</v>
      </c>
      <c r="O8" s="78">
        <v>314719</v>
      </c>
    </row>
    <row r="9" spans="1:15" ht="19.899999999999999" customHeight="1" x14ac:dyDescent="0.25">
      <c r="C9" s="11"/>
      <c r="D9" s="11"/>
      <c r="E9" s="11"/>
      <c r="F9" s="11"/>
      <c r="G9" s="11"/>
      <c r="H9" s="11"/>
      <c r="I9" s="11"/>
      <c r="K9" s="2" t="s">
        <v>180</v>
      </c>
      <c r="M9" s="11">
        <v>178784</v>
      </c>
      <c r="N9" s="11">
        <v>212349</v>
      </c>
      <c r="O9" s="78">
        <v>189791</v>
      </c>
    </row>
    <row r="10" spans="1:15" ht="19.899999999999999" customHeight="1" x14ac:dyDescent="0.25">
      <c r="A10" s="4" t="s">
        <v>108</v>
      </c>
      <c r="B10" s="4"/>
      <c r="C10" s="13">
        <v>-93439</v>
      </c>
      <c r="D10" s="13">
        <v>-99031</v>
      </c>
      <c r="E10" s="13">
        <v>-86281</v>
      </c>
      <c r="F10" s="13">
        <v>-89992</v>
      </c>
      <c r="G10" s="13">
        <v>-106318</v>
      </c>
      <c r="H10" s="13">
        <v>-93180</v>
      </c>
      <c r="I10" s="13">
        <v>-83094</v>
      </c>
      <c r="K10" s="4" t="s">
        <v>108</v>
      </c>
      <c r="L10" s="4"/>
      <c r="M10" s="13">
        <v>-83698</v>
      </c>
      <c r="N10" s="13">
        <v>-99588</v>
      </c>
      <c r="O10" s="79">
        <v>-85019</v>
      </c>
    </row>
    <row r="11" spans="1:15" ht="19.899999999999999" customHeight="1" thickBot="1" x14ac:dyDescent="0.3">
      <c r="A11" s="14" t="s">
        <v>48</v>
      </c>
      <c r="B11" s="14"/>
      <c r="C11" s="14">
        <f t="shared" ref="C11:I11" si="0">SUM(C5:C10)</f>
        <v>3727252</v>
      </c>
      <c r="D11" s="14">
        <f t="shared" si="0"/>
        <v>3800271</v>
      </c>
      <c r="E11" s="14">
        <f t="shared" si="0"/>
        <v>3401487</v>
      </c>
      <c r="F11" s="14">
        <f t="shared" si="0"/>
        <v>4080015</v>
      </c>
      <c r="G11" s="14">
        <f t="shared" si="0"/>
        <v>3951937</v>
      </c>
      <c r="H11" s="14">
        <f t="shared" si="0"/>
        <v>3593299</v>
      </c>
      <c r="I11" s="14">
        <f t="shared" si="0"/>
        <v>3160243</v>
      </c>
      <c r="K11" s="14" t="s">
        <v>48</v>
      </c>
      <c r="L11" s="14"/>
      <c r="M11" s="14">
        <f>SUM(M5:M10)</f>
        <v>3513357</v>
      </c>
      <c r="N11" s="14">
        <f>SUM(N5:N10)</f>
        <v>4031414</v>
      </c>
      <c r="O11" s="87">
        <f>SUM(O5:O10)</f>
        <v>4180972</v>
      </c>
    </row>
    <row r="12" spans="1:15" ht="6" customHeight="1" x14ac:dyDescent="0.25">
      <c r="A12" s="15"/>
      <c r="B12" s="15"/>
      <c r="C12" s="15"/>
      <c r="D12" s="15"/>
      <c r="E12" s="15"/>
      <c r="F12" s="15"/>
      <c r="G12" s="15"/>
      <c r="H12" s="15"/>
      <c r="I12" s="15"/>
      <c r="J12" s="15"/>
    </row>
    <row r="13" spans="1:15" s="17" customFormat="1" ht="16.149999999999999" customHeight="1" x14ac:dyDescent="0.25">
      <c r="A13" s="74" t="s">
        <v>68</v>
      </c>
      <c r="B13" s="75" t="s">
        <v>181</v>
      </c>
      <c r="C13" s="2"/>
    </row>
    <row r="14" spans="1:15" ht="16.149999999999999" customHeight="1" x14ac:dyDescent="0.25">
      <c r="A14" s="74"/>
      <c r="B14" s="75" t="s">
        <v>182</v>
      </c>
    </row>
    <row r="15" spans="1:15" ht="16.149999999999999" customHeight="1" x14ac:dyDescent="0.25">
      <c r="A15" s="100" t="s">
        <v>68</v>
      </c>
      <c r="B15" s="100" t="s">
        <v>190</v>
      </c>
      <c r="C15" s="100"/>
      <c r="D15" s="100"/>
      <c r="E15" s="100"/>
      <c r="F15" s="100"/>
      <c r="G15" s="100"/>
      <c r="H15" s="100"/>
      <c r="I15" s="100"/>
      <c r="J15" s="100"/>
    </row>
  </sheetData>
  <phoneticPr fontId="2"/>
  <printOptions horizontalCentered="1"/>
  <pageMargins left="0.43307086614173229" right="0.47244094488188981" top="0.39370078740157483" bottom="0.19685039370078741" header="0.31496062992125984" footer="0.19685039370078741"/>
  <pageSetup paperSize="9" scale="72" orientation="landscape" blackAndWhite="1" r:id="rId1"/>
  <headerFooter differentFirst="1" scaleWithDoc="0"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1"/>
  <sheetViews>
    <sheetView showGridLines="0" view="pageBreakPreview" zoomScaleNormal="100" zoomScaleSheetLayoutView="100" workbookViewId="0">
      <pane xSplit="2" ySplit="1" topLeftCell="C2" activePane="bottomRight" state="frozen"/>
      <selection activeCell="E13" sqref="E13"/>
      <selection pane="topRight" activeCell="E13" sqref="E13"/>
      <selection pane="bottomLeft" activeCell="E13" sqref="E13"/>
      <selection pane="bottomRight" activeCell="E13" sqref="E13"/>
    </sheetView>
  </sheetViews>
  <sheetFormatPr defaultColWidth="10.75" defaultRowHeight="16.149999999999999" customHeight="1" x14ac:dyDescent="0.25"/>
  <cols>
    <col min="1" max="1" width="3.375" style="2" customWidth="1"/>
    <col min="2" max="2" width="23.25" style="2" customWidth="1"/>
    <col min="3" max="7" width="13.125" style="2" customWidth="1"/>
    <col min="8" max="10" width="13.125" style="2" bestFit="1" customWidth="1"/>
    <col min="11" max="12" width="13.125" style="2" customWidth="1"/>
    <col min="13" max="16384" width="10.75" style="2"/>
  </cols>
  <sheetData>
    <row r="1" spans="1:13" ht="30" customHeight="1" x14ac:dyDescent="0.35">
      <c r="A1" s="1" t="s">
        <v>156</v>
      </c>
      <c r="C1" s="47"/>
    </row>
    <row r="2" spans="1:13" s="6" customFormat="1" ht="16.5" x14ac:dyDescent="0.25">
      <c r="A2" s="4"/>
      <c r="B2" s="5"/>
      <c r="C2" s="5">
        <v>2014</v>
      </c>
      <c r="D2" s="5">
        <v>2015</v>
      </c>
      <c r="E2" s="5">
        <v>2016</v>
      </c>
      <c r="F2" s="5">
        <v>2017</v>
      </c>
      <c r="G2" s="5">
        <v>2018</v>
      </c>
      <c r="H2" s="5">
        <v>2019</v>
      </c>
      <c r="I2" s="5">
        <v>2020</v>
      </c>
      <c r="J2" s="5">
        <v>2021</v>
      </c>
      <c r="K2" s="5">
        <v>2022</v>
      </c>
      <c r="L2" s="5">
        <v>2023</v>
      </c>
    </row>
    <row r="3" spans="1:13" s="6" customFormat="1" ht="19.899999999999999" customHeight="1" x14ac:dyDescent="0.25">
      <c r="A3" s="8"/>
      <c r="B3" s="8" t="s">
        <v>3</v>
      </c>
    </row>
    <row r="4" spans="1:13" ht="19.899999999999999" customHeight="1" x14ac:dyDescent="0.25">
      <c r="A4" s="2" t="s">
        <v>49</v>
      </c>
      <c r="C4" s="2">
        <v>724317</v>
      </c>
      <c r="D4" s="2">
        <v>714280</v>
      </c>
      <c r="E4" s="2">
        <v>706979</v>
      </c>
      <c r="F4" s="2">
        <v>884828</v>
      </c>
      <c r="G4" s="2">
        <v>869577</v>
      </c>
      <c r="H4" s="2">
        <v>872534</v>
      </c>
      <c r="I4" s="2">
        <v>806305</v>
      </c>
      <c r="J4" s="2">
        <v>830378</v>
      </c>
      <c r="K4" s="2">
        <v>864808</v>
      </c>
      <c r="L4" s="19">
        <v>901589</v>
      </c>
    </row>
    <row r="5" spans="1:13" ht="19.899999999999999" customHeight="1" x14ac:dyDescent="0.25">
      <c r="A5" s="2" t="s">
        <v>50</v>
      </c>
      <c r="L5" s="19"/>
    </row>
    <row r="6" spans="1:13" ht="19.899999999999999" customHeight="1" x14ac:dyDescent="0.25">
      <c r="B6" s="2" t="s">
        <v>51</v>
      </c>
      <c r="C6" s="11">
        <v>1036500</v>
      </c>
      <c r="D6" s="11">
        <v>1144422</v>
      </c>
      <c r="E6" s="11">
        <v>963544</v>
      </c>
      <c r="F6" s="11">
        <v>1107515</v>
      </c>
      <c r="G6" s="11">
        <v>1076402</v>
      </c>
      <c r="H6" s="11">
        <v>1029078</v>
      </c>
      <c r="I6" s="11">
        <v>852451</v>
      </c>
      <c r="J6" s="11">
        <v>968839</v>
      </c>
      <c r="K6" s="11">
        <v>1255405</v>
      </c>
      <c r="L6" s="78">
        <v>1312438</v>
      </c>
    </row>
    <row r="7" spans="1:13" ht="19.899999999999999" customHeight="1" x14ac:dyDescent="0.25">
      <c r="B7" s="2" t="s">
        <v>52</v>
      </c>
      <c r="C7" s="11">
        <v>1090484</v>
      </c>
      <c r="D7" s="11">
        <v>1074366</v>
      </c>
      <c r="E7" s="11">
        <v>913523</v>
      </c>
      <c r="F7" s="11">
        <v>1028415</v>
      </c>
      <c r="G7" s="11">
        <v>1015428</v>
      </c>
      <c r="H7" s="11">
        <v>882480</v>
      </c>
      <c r="I7" s="11">
        <v>795616</v>
      </c>
      <c r="J7" s="11">
        <v>894898</v>
      </c>
      <c r="K7" s="11">
        <v>1034008</v>
      </c>
      <c r="L7" s="78">
        <v>1111211</v>
      </c>
    </row>
    <row r="8" spans="1:13" ht="19.899999999999999" customHeight="1" x14ac:dyDescent="0.25">
      <c r="B8" s="4" t="s">
        <v>117</v>
      </c>
      <c r="C8" s="13">
        <v>875951</v>
      </c>
      <c r="D8" s="13">
        <v>867203</v>
      </c>
      <c r="E8" s="13">
        <v>817441</v>
      </c>
      <c r="F8" s="13">
        <v>1059257</v>
      </c>
      <c r="G8" s="13">
        <v>990530</v>
      </c>
      <c r="H8" s="13">
        <v>809207</v>
      </c>
      <c r="I8" s="13">
        <v>705871</v>
      </c>
      <c r="J8" s="13">
        <v>819242</v>
      </c>
      <c r="K8" s="13">
        <v>877193</v>
      </c>
      <c r="L8" s="79">
        <v>855734</v>
      </c>
    </row>
    <row r="9" spans="1:13" ht="19.899999999999999" customHeight="1" x14ac:dyDescent="0.25">
      <c r="A9" s="4"/>
      <c r="B9" s="4" t="s">
        <v>53</v>
      </c>
      <c r="C9" s="4">
        <f t="shared" ref="C9:F9" si="0">SUM(C6:C8)</f>
        <v>3002935</v>
      </c>
      <c r="D9" s="4">
        <f t="shared" si="0"/>
        <v>3085991</v>
      </c>
      <c r="E9" s="4">
        <f t="shared" si="0"/>
        <v>2694508</v>
      </c>
      <c r="F9" s="4">
        <f t="shared" si="0"/>
        <v>3195187</v>
      </c>
      <c r="G9" s="4">
        <f t="shared" ref="G9:K9" si="1">SUM(G6:G8)</f>
        <v>3082360</v>
      </c>
      <c r="H9" s="4">
        <f t="shared" si="1"/>
        <v>2720765</v>
      </c>
      <c r="I9" s="4">
        <f t="shared" si="1"/>
        <v>2353938</v>
      </c>
      <c r="J9" s="4">
        <f t="shared" si="1"/>
        <v>2682979</v>
      </c>
      <c r="K9" s="4">
        <f t="shared" si="1"/>
        <v>3166606</v>
      </c>
      <c r="L9" s="81">
        <v>3279383</v>
      </c>
    </row>
    <row r="10" spans="1:13" ht="19.899999999999999" customHeight="1" thickBot="1" x14ac:dyDescent="0.3">
      <c r="A10" s="14" t="s">
        <v>48</v>
      </c>
      <c r="B10" s="14"/>
      <c r="C10" s="14">
        <f t="shared" ref="C10:K10" si="2">SUM(C4,C9)</f>
        <v>3727252</v>
      </c>
      <c r="D10" s="14">
        <f t="shared" si="2"/>
        <v>3800271</v>
      </c>
      <c r="E10" s="14">
        <f t="shared" si="2"/>
        <v>3401487</v>
      </c>
      <c r="F10" s="14">
        <f t="shared" si="2"/>
        <v>4080015</v>
      </c>
      <c r="G10" s="14">
        <f t="shared" si="2"/>
        <v>3951937</v>
      </c>
      <c r="H10" s="14">
        <f t="shared" si="2"/>
        <v>3593299</v>
      </c>
      <c r="I10" s="14">
        <f t="shared" si="2"/>
        <v>3160243</v>
      </c>
      <c r="J10" s="14">
        <f t="shared" si="2"/>
        <v>3513357</v>
      </c>
      <c r="K10" s="14">
        <f t="shared" si="2"/>
        <v>4031414</v>
      </c>
      <c r="L10" s="87">
        <f t="shared" ref="L10" si="3">SUM(L4,L9)</f>
        <v>4180972</v>
      </c>
    </row>
    <row r="11" spans="1:13" s="17" customFormat="1" ht="16.149999999999999" customHeight="1" x14ac:dyDescent="0.25">
      <c r="A11" s="44"/>
      <c r="M11" s="2"/>
    </row>
  </sheetData>
  <phoneticPr fontId="2"/>
  <printOptions horizontalCentered="1"/>
  <pageMargins left="0.43307086614173229" right="0.47244094488188981" top="0.39370078740157483" bottom="0.19685039370078741" header="0.31496062992125984" footer="0.19685039370078741"/>
  <pageSetup paperSize="9" scale="72" orientation="landscape" blackAndWhite="1" r:id="rId1"/>
  <headerFooter differentFirst="1" scaleWithDoc="0" alignWithMargins="0">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58"/>
  <sheetViews>
    <sheetView showGridLines="0" view="pageBreakPreview" zoomScale="85" zoomScaleNormal="100" zoomScaleSheetLayoutView="85" workbookViewId="0">
      <pane xSplit="2" ySplit="2" topLeftCell="C39" activePane="bottomRight" state="frozen"/>
      <selection activeCell="E13" sqref="E13"/>
      <selection pane="topRight" activeCell="E13" sqref="E13"/>
      <selection pane="bottomLeft" activeCell="E13" sqref="E13"/>
      <selection pane="bottomRight" activeCell="E13" sqref="E13"/>
    </sheetView>
  </sheetViews>
  <sheetFormatPr defaultColWidth="10.75" defaultRowHeight="16.149999999999999" customHeight="1" x14ac:dyDescent="0.25"/>
  <cols>
    <col min="1" max="1" width="3.375" style="2" customWidth="1"/>
    <col min="2" max="2" width="19.25" style="2" customWidth="1"/>
    <col min="3" max="9" width="12.875" style="2" customWidth="1"/>
    <col min="10" max="10" width="7.125" style="2" customWidth="1"/>
    <col min="11" max="12" width="10.75" style="2"/>
    <col min="13" max="13" width="13.125" style="2" customWidth="1"/>
    <col min="14" max="15" width="13.5" style="2" customWidth="1"/>
    <col min="16" max="16384" width="10.75" style="2"/>
  </cols>
  <sheetData>
    <row r="1" spans="1:15" ht="28.5" customHeight="1" x14ac:dyDescent="0.35">
      <c r="A1" s="1" t="s">
        <v>187</v>
      </c>
      <c r="C1" s="3"/>
    </row>
    <row r="2" spans="1:15" s="6" customFormat="1" ht="16.5" customHeight="1" x14ac:dyDescent="0.25">
      <c r="A2" s="4"/>
      <c r="B2" s="48" t="s">
        <v>136</v>
      </c>
      <c r="C2" s="5">
        <v>2014</v>
      </c>
      <c r="D2" s="5">
        <v>2015</v>
      </c>
      <c r="E2" s="5">
        <v>2016</v>
      </c>
      <c r="F2" s="5">
        <v>2017</v>
      </c>
      <c r="G2" s="5">
        <v>2018</v>
      </c>
      <c r="H2" s="5">
        <v>2019</v>
      </c>
      <c r="I2" s="5">
        <v>2020</v>
      </c>
      <c r="M2" s="5">
        <v>2021</v>
      </c>
      <c r="N2" s="5">
        <v>2022</v>
      </c>
      <c r="O2" s="5">
        <v>2023</v>
      </c>
    </row>
    <row r="3" spans="1:15" s="6" customFormat="1" ht="3.75" customHeight="1" x14ac:dyDescent="0.25">
      <c r="A3" s="8"/>
      <c r="B3" s="8"/>
      <c r="C3" s="7"/>
      <c r="D3" s="7"/>
      <c r="E3" s="7"/>
      <c r="F3" s="7"/>
      <c r="G3" s="7"/>
      <c r="H3" s="7"/>
      <c r="I3" s="7"/>
      <c r="K3" s="10"/>
      <c r="L3" s="10"/>
    </row>
    <row r="4" spans="1:15" s="6" customFormat="1" ht="21" customHeight="1" x14ac:dyDescent="0.25">
      <c r="A4" s="8"/>
      <c r="B4" s="8"/>
      <c r="C4" s="7"/>
      <c r="D4" s="7"/>
      <c r="E4" s="7"/>
      <c r="F4" s="7"/>
      <c r="G4" s="7"/>
      <c r="H4" s="7"/>
      <c r="I4" s="7"/>
      <c r="K4" s="49"/>
      <c r="M4" s="49"/>
    </row>
    <row r="5" spans="1:15" ht="16.149999999999999" customHeight="1" x14ac:dyDescent="0.25">
      <c r="A5" s="2" t="s">
        <v>109</v>
      </c>
      <c r="K5" s="2" t="s">
        <v>154</v>
      </c>
    </row>
    <row r="6" spans="1:15" ht="16.149999999999999" customHeight="1" x14ac:dyDescent="0.25">
      <c r="B6" s="2" t="s">
        <v>4</v>
      </c>
      <c r="C6" s="2">
        <v>2078732</v>
      </c>
      <c r="D6" s="2">
        <v>2110816</v>
      </c>
      <c r="E6" s="2">
        <v>1807819</v>
      </c>
      <c r="F6" s="2">
        <v>1865928</v>
      </c>
      <c r="G6" s="2">
        <v>1868355</v>
      </c>
      <c r="H6" s="2">
        <v>1752107</v>
      </c>
      <c r="I6" s="2">
        <v>1440212</v>
      </c>
      <c r="L6" s="2" t="s">
        <v>4</v>
      </c>
      <c r="M6" s="2">
        <v>1946656</v>
      </c>
      <c r="N6" s="2">
        <v>2272610</v>
      </c>
      <c r="O6" s="19">
        <v>2346076</v>
      </c>
    </row>
    <row r="7" spans="1:15" ht="16.149999999999999" customHeight="1" x14ac:dyDescent="0.25">
      <c r="B7" s="2" t="s">
        <v>7</v>
      </c>
      <c r="C7" s="2">
        <v>292057</v>
      </c>
      <c r="D7" s="2">
        <v>290586</v>
      </c>
      <c r="E7" s="2">
        <v>169486</v>
      </c>
      <c r="F7" s="2">
        <v>174562</v>
      </c>
      <c r="G7" s="2">
        <v>217083</v>
      </c>
      <c r="H7" s="2">
        <v>164996</v>
      </c>
      <c r="I7" s="2">
        <v>81369</v>
      </c>
      <c r="L7" s="2" t="s">
        <v>7</v>
      </c>
      <c r="M7" s="2">
        <v>226866</v>
      </c>
      <c r="N7" s="2">
        <v>212391</v>
      </c>
      <c r="O7" s="19">
        <v>228309</v>
      </c>
    </row>
    <row r="8" spans="1:15" s="29" customFormat="1" ht="15.75" customHeight="1" x14ac:dyDescent="0.25">
      <c r="B8" s="50" t="s">
        <v>8</v>
      </c>
      <c r="C8" s="50">
        <f t="shared" ref="C8:G8" si="0">IF(C6=0,"",C7/C6)</f>
        <v>0.14000000000000001</v>
      </c>
      <c r="D8" s="50">
        <f t="shared" si="0"/>
        <v>0.13800000000000001</v>
      </c>
      <c r="E8" s="50">
        <f t="shared" si="0"/>
        <v>9.4E-2</v>
      </c>
      <c r="F8" s="50">
        <f t="shared" si="0"/>
        <v>9.4E-2</v>
      </c>
      <c r="G8" s="50">
        <f t="shared" si="0"/>
        <v>0.11600000000000001</v>
      </c>
      <c r="H8" s="50">
        <f>IF(H6=0,"",H7/H6)</f>
        <v>9.4E-2</v>
      </c>
      <c r="I8" s="50">
        <f>IF(I6=0,"",I7/I6)</f>
        <v>5.6000000000000001E-2</v>
      </c>
      <c r="L8" s="50" t="s">
        <v>8</v>
      </c>
      <c r="M8" s="50">
        <f>IF(M6=0,"",M7/M6)</f>
        <v>0.11700000000000001</v>
      </c>
      <c r="N8" s="50">
        <v>9.2999999999999999E-2</v>
      </c>
      <c r="O8" s="88">
        <v>9.7000000000000003E-2</v>
      </c>
    </row>
    <row r="9" spans="1:15" ht="16.149999999999999" customHeight="1" x14ac:dyDescent="0.25">
      <c r="B9" s="2" t="s">
        <v>112</v>
      </c>
      <c r="C9" s="11">
        <v>1025499</v>
      </c>
      <c r="D9" s="11">
        <v>1020758</v>
      </c>
      <c r="E9" s="11">
        <v>961749</v>
      </c>
      <c r="F9" s="11">
        <v>962006</v>
      </c>
      <c r="G9" s="11">
        <v>937607</v>
      </c>
      <c r="H9" s="11">
        <v>878705</v>
      </c>
      <c r="I9" s="11">
        <v>812553</v>
      </c>
      <c r="L9" s="2" t="s">
        <v>112</v>
      </c>
      <c r="M9" s="11">
        <v>1009922</v>
      </c>
      <c r="N9" s="11">
        <v>1224187</v>
      </c>
      <c r="O9" s="78">
        <v>1247666</v>
      </c>
    </row>
    <row r="10" spans="1:15" ht="16.149999999999999" customHeight="1" x14ac:dyDescent="0.25">
      <c r="B10" s="2" t="s">
        <v>39</v>
      </c>
      <c r="C10" s="11">
        <v>87058</v>
      </c>
      <c r="D10" s="11">
        <v>86206</v>
      </c>
      <c r="E10" s="11">
        <v>78319</v>
      </c>
      <c r="F10" s="11">
        <v>74377</v>
      </c>
      <c r="G10" s="11">
        <v>66107</v>
      </c>
      <c r="H10" s="11">
        <v>59061</v>
      </c>
      <c r="I10" s="11">
        <v>56814</v>
      </c>
      <c r="L10" s="2" t="s">
        <v>39</v>
      </c>
      <c r="M10" s="11">
        <v>69549</v>
      </c>
      <c r="N10" s="11">
        <v>72946</v>
      </c>
      <c r="O10" s="78">
        <v>69712</v>
      </c>
    </row>
    <row r="11" spans="1:15" ht="16.149999999999999" customHeight="1" x14ac:dyDescent="0.25">
      <c r="A11" s="4"/>
      <c r="B11" s="4" t="s">
        <v>114</v>
      </c>
      <c r="C11" s="13">
        <v>69704</v>
      </c>
      <c r="D11" s="13">
        <v>73819</v>
      </c>
      <c r="E11" s="13">
        <v>72189</v>
      </c>
      <c r="F11" s="13">
        <v>47653</v>
      </c>
      <c r="G11" s="13">
        <v>48415</v>
      </c>
      <c r="H11" s="13">
        <v>51680</v>
      </c>
      <c r="I11" s="13">
        <v>46536</v>
      </c>
      <c r="K11" s="4"/>
      <c r="L11" s="4" t="s">
        <v>114</v>
      </c>
      <c r="M11" s="13">
        <v>63609</v>
      </c>
      <c r="N11" s="13">
        <v>66550</v>
      </c>
      <c r="O11" s="79">
        <v>65175</v>
      </c>
    </row>
    <row r="12" spans="1:15" ht="16.149999999999999" customHeight="1" x14ac:dyDescent="0.25">
      <c r="A12" s="2" t="s">
        <v>132</v>
      </c>
      <c r="K12" s="2" t="s">
        <v>153</v>
      </c>
      <c r="O12" s="19"/>
    </row>
    <row r="13" spans="1:15" ht="16.149999999999999" customHeight="1" x14ac:dyDescent="0.25">
      <c r="B13" s="2" t="s">
        <v>4</v>
      </c>
      <c r="C13" s="12" t="s">
        <v>133</v>
      </c>
      <c r="D13" s="12" t="s">
        <v>133</v>
      </c>
      <c r="E13" s="12" t="s">
        <v>133</v>
      </c>
      <c r="F13" s="12">
        <v>436187</v>
      </c>
      <c r="G13" s="11">
        <v>437578</v>
      </c>
      <c r="H13" s="11">
        <v>438525</v>
      </c>
      <c r="I13" s="11">
        <v>436074</v>
      </c>
      <c r="L13" s="2" t="s">
        <v>4</v>
      </c>
      <c r="M13" s="11">
        <v>480362</v>
      </c>
      <c r="N13" s="11">
        <v>513331</v>
      </c>
      <c r="O13" s="78">
        <v>553780</v>
      </c>
    </row>
    <row r="14" spans="1:15" ht="16.149999999999999" customHeight="1" x14ac:dyDescent="0.25">
      <c r="B14" s="2" t="s">
        <v>7</v>
      </c>
      <c r="C14" s="12" t="s">
        <v>133</v>
      </c>
      <c r="D14" s="12" t="s">
        <v>133</v>
      </c>
      <c r="E14" s="12" t="s">
        <v>133</v>
      </c>
      <c r="F14" s="12">
        <v>21941</v>
      </c>
      <c r="G14" s="11">
        <v>28839</v>
      </c>
      <c r="H14" s="11">
        <v>26744</v>
      </c>
      <c r="I14" s="11">
        <v>25244</v>
      </c>
      <c r="L14" s="2" t="s">
        <v>7</v>
      </c>
      <c r="M14" s="11">
        <v>29420</v>
      </c>
      <c r="N14" s="11">
        <v>31005</v>
      </c>
      <c r="O14" s="78">
        <v>31649</v>
      </c>
    </row>
    <row r="15" spans="1:15" s="29" customFormat="1" ht="16.149999999999999" customHeight="1" x14ac:dyDescent="0.25">
      <c r="B15" s="50" t="s">
        <v>8</v>
      </c>
      <c r="C15" s="51" t="s">
        <v>133</v>
      </c>
      <c r="D15" s="51" t="s">
        <v>133</v>
      </c>
      <c r="E15" s="51" t="s">
        <v>133</v>
      </c>
      <c r="F15" s="51">
        <f>IF(F13=0,"",F14/F13)</f>
        <v>0.05</v>
      </c>
      <c r="G15" s="50">
        <f>IF(G13=0,"",G14/G13)</f>
        <v>6.6000000000000003E-2</v>
      </c>
      <c r="H15" s="50">
        <f>IF(H13=0,"",H14/H13)</f>
        <v>6.0999999999999999E-2</v>
      </c>
      <c r="I15" s="50">
        <f>IF(I13=0,"",I14/I13)</f>
        <v>5.8000000000000003E-2</v>
      </c>
      <c r="L15" s="50" t="s">
        <v>8</v>
      </c>
      <c r="M15" s="50">
        <f>IF(M13=0,"",M14/M13)</f>
        <v>6.0999999999999999E-2</v>
      </c>
      <c r="N15" s="50">
        <f>IF(N13=0,"",N14/N13)</f>
        <v>0.06</v>
      </c>
      <c r="O15" s="88">
        <v>5.7000000000000002E-2</v>
      </c>
    </row>
    <row r="16" spans="1:15" ht="16.149999999999999" customHeight="1" x14ac:dyDescent="0.25">
      <c r="B16" s="2" t="s">
        <v>111</v>
      </c>
      <c r="C16" s="12" t="s">
        <v>133</v>
      </c>
      <c r="D16" s="12" t="s">
        <v>133</v>
      </c>
      <c r="E16" s="12" t="s">
        <v>133</v>
      </c>
      <c r="F16" s="12">
        <v>238824</v>
      </c>
      <c r="G16" s="11">
        <v>247282</v>
      </c>
      <c r="H16" s="11">
        <v>273525</v>
      </c>
      <c r="I16" s="11">
        <v>286749</v>
      </c>
      <c r="L16" s="2" t="s">
        <v>112</v>
      </c>
      <c r="M16" s="11">
        <v>311247</v>
      </c>
      <c r="N16" s="11">
        <v>356799</v>
      </c>
      <c r="O16" s="78">
        <v>361251</v>
      </c>
    </row>
    <row r="17" spans="1:15" ht="16.149999999999999" customHeight="1" x14ac:dyDescent="0.25">
      <c r="B17" s="2" t="s">
        <v>39</v>
      </c>
      <c r="C17" s="12" t="s">
        <v>133</v>
      </c>
      <c r="D17" s="12" t="s">
        <v>133</v>
      </c>
      <c r="E17" s="12" t="s">
        <v>133</v>
      </c>
      <c r="F17" s="12">
        <v>5212</v>
      </c>
      <c r="G17" s="11">
        <v>9365</v>
      </c>
      <c r="H17" s="11">
        <v>11760</v>
      </c>
      <c r="I17" s="11">
        <v>11781</v>
      </c>
      <c r="L17" s="2" t="s">
        <v>39</v>
      </c>
      <c r="M17" s="11">
        <v>12435</v>
      </c>
      <c r="N17" s="11">
        <v>13418</v>
      </c>
      <c r="O17" s="78">
        <v>14041</v>
      </c>
    </row>
    <row r="18" spans="1:15" ht="16.149999999999999" customHeight="1" x14ac:dyDescent="0.25">
      <c r="A18" s="4"/>
      <c r="B18" s="4" t="s">
        <v>113</v>
      </c>
      <c r="C18" s="52" t="s">
        <v>133</v>
      </c>
      <c r="D18" s="52" t="s">
        <v>133</v>
      </c>
      <c r="E18" s="52" t="s">
        <v>133</v>
      </c>
      <c r="F18" s="52">
        <v>8963</v>
      </c>
      <c r="G18" s="13">
        <v>7454</v>
      </c>
      <c r="H18" s="13">
        <v>7074</v>
      </c>
      <c r="I18" s="13">
        <v>7244</v>
      </c>
      <c r="K18" s="4"/>
      <c r="L18" s="4" t="s">
        <v>114</v>
      </c>
      <c r="M18" s="13">
        <v>11888</v>
      </c>
      <c r="N18" s="13">
        <v>11956</v>
      </c>
      <c r="O18" s="79">
        <v>12094</v>
      </c>
    </row>
    <row r="19" spans="1:15" ht="16.149999999999999" customHeight="1" x14ac:dyDescent="0.25">
      <c r="A19" s="2" t="s">
        <v>126</v>
      </c>
      <c r="K19" s="2" t="s">
        <v>152</v>
      </c>
      <c r="O19" s="19"/>
    </row>
    <row r="20" spans="1:15" ht="16.149999999999999" customHeight="1" x14ac:dyDescent="0.25">
      <c r="B20" s="2" t="s">
        <v>4</v>
      </c>
      <c r="C20" s="11">
        <v>1343194</v>
      </c>
      <c r="D20" s="11">
        <v>1263835</v>
      </c>
      <c r="E20" s="11">
        <v>1095289</v>
      </c>
      <c r="F20" s="11">
        <v>1099125</v>
      </c>
      <c r="G20" s="11">
        <v>970435</v>
      </c>
      <c r="H20" s="11">
        <v>807414</v>
      </c>
      <c r="I20" s="11">
        <v>712238</v>
      </c>
      <c r="L20" s="2" t="s">
        <v>4</v>
      </c>
      <c r="M20" s="11">
        <v>653532</v>
      </c>
      <c r="N20" s="11">
        <v>803480</v>
      </c>
      <c r="O20" s="78">
        <v>861625</v>
      </c>
    </row>
    <row r="21" spans="1:15" ht="16.149999999999999" customHeight="1" x14ac:dyDescent="0.25">
      <c r="B21" s="2" t="s">
        <v>7</v>
      </c>
      <c r="C21" s="11">
        <v>194601</v>
      </c>
      <c r="D21" s="11">
        <v>183439</v>
      </c>
      <c r="E21" s="11">
        <v>144413</v>
      </c>
      <c r="F21" s="11">
        <v>176287</v>
      </c>
      <c r="G21" s="11">
        <v>126836</v>
      </c>
      <c r="H21" s="11">
        <v>48167</v>
      </c>
      <c r="I21" s="11">
        <v>71805</v>
      </c>
      <c r="L21" s="2" t="s">
        <v>7</v>
      </c>
      <c r="M21" s="11">
        <v>78718</v>
      </c>
      <c r="N21" s="11">
        <v>126630</v>
      </c>
      <c r="O21" s="78">
        <v>145579</v>
      </c>
    </row>
    <row r="22" spans="1:15" s="29" customFormat="1" ht="16.149999999999999" customHeight="1" x14ac:dyDescent="0.25">
      <c r="B22" s="50" t="s">
        <v>8</v>
      </c>
      <c r="C22" s="50">
        <f t="shared" ref="C22:G22" si="1">IF(C20=0,"",C21/C20)</f>
        <v>0.14499999999999999</v>
      </c>
      <c r="D22" s="50">
        <f t="shared" si="1"/>
        <v>0.14499999999999999</v>
      </c>
      <c r="E22" s="50">
        <f t="shared" si="1"/>
        <v>0.13200000000000001</v>
      </c>
      <c r="F22" s="50">
        <f t="shared" si="1"/>
        <v>0.16</v>
      </c>
      <c r="G22" s="50">
        <f t="shared" si="1"/>
        <v>0.13100000000000001</v>
      </c>
      <c r="H22" s="50">
        <f>IF(H20=0,"",H21/H20)</f>
        <v>0.06</v>
      </c>
      <c r="I22" s="50">
        <f>IF(I20=0,"",I21/I20)</f>
        <v>0.10100000000000001</v>
      </c>
      <c r="L22" s="50" t="s">
        <v>8</v>
      </c>
      <c r="M22" s="50">
        <f>IF(M20=0,"",M21/M20)</f>
        <v>0.12</v>
      </c>
      <c r="N22" s="50">
        <f>IF(N20=0,"",N21/N20)</f>
        <v>0.158</v>
      </c>
      <c r="O22" s="88">
        <v>0.16900000000000001</v>
      </c>
    </row>
    <row r="23" spans="1:15" ht="16.149999999999999" customHeight="1" x14ac:dyDescent="0.25">
      <c r="B23" s="2" t="s">
        <v>111</v>
      </c>
      <c r="C23" s="11">
        <v>517524</v>
      </c>
      <c r="D23" s="11">
        <v>452283</v>
      </c>
      <c r="E23" s="11">
        <v>391661</v>
      </c>
      <c r="F23" s="11">
        <v>368410</v>
      </c>
      <c r="G23" s="11">
        <v>371944</v>
      </c>
      <c r="H23" s="11">
        <v>313141</v>
      </c>
      <c r="I23" s="11">
        <v>242923</v>
      </c>
      <c r="L23" s="2" t="s">
        <v>112</v>
      </c>
      <c r="M23" s="11">
        <v>236143</v>
      </c>
      <c r="N23" s="11">
        <v>349338</v>
      </c>
      <c r="O23" s="78">
        <v>406390</v>
      </c>
    </row>
    <row r="24" spans="1:15" ht="16.149999999999999" customHeight="1" x14ac:dyDescent="0.25">
      <c r="B24" s="2" t="s">
        <v>39</v>
      </c>
      <c r="C24" s="11">
        <v>53912</v>
      </c>
      <c r="D24" s="11">
        <v>52070</v>
      </c>
      <c r="E24" s="11">
        <v>47386</v>
      </c>
      <c r="F24" s="11">
        <v>39694</v>
      </c>
      <c r="G24" s="11">
        <v>38054</v>
      </c>
      <c r="H24" s="11">
        <v>35805</v>
      </c>
      <c r="I24" s="11">
        <v>30381</v>
      </c>
      <c r="L24" s="2" t="s">
        <v>39</v>
      </c>
      <c r="M24" s="11">
        <v>21840</v>
      </c>
      <c r="N24" s="11">
        <v>20374</v>
      </c>
      <c r="O24" s="78">
        <v>22062</v>
      </c>
    </row>
    <row r="25" spans="1:15" ht="16.149999999999999" customHeight="1" x14ac:dyDescent="0.25">
      <c r="A25" s="4"/>
      <c r="B25" s="4" t="s">
        <v>113</v>
      </c>
      <c r="C25" s="13">
        <v>31124</v>
      </c>
      <c r="D25" s="13">
        <v>38337</v>
      </c>
      <c r="E25" s="13">
        <v>25564</v>
      </c>
      <c r="F25" s="13">
        <v>27220</v>
      </c>
      <c r="G25" s="13">
        <v>25712</v>
      </c>
      <c r="H25" s="13">
        <v>24016</v>
      </c>
      <c r="I25" s="13">
        <v>19814</v>
      </c>
      <c r="K25" s="4"/>
      <c r="L25" s="4" t="s">
        <v>114</v>
      </c>
      <c r="M25" s="13">
        <v>12069</v>
      </c>
      <c r="N25" s="13">
        <v>17841</v>
      </c>
      <c r="O25" s="79">
        <v>28922</v>
      </c>
    </row>
    <row r="26" spans="1:15" ht="16.149999999999999" customHeight="1" x14ac:dyDescent="0.25">
      <c r="A26" s="2" t="s">
        <v>110</v>
      </c>
      <c r="K26" s="2" t="s">
        <v>183</v>
      </c>
      <c r="O26" s="19"/>
    </row>
    <row r="27" spans="1:15" ht="16.149999999999999" customHeight="1" x14ac:dyDescent="0.25">
      <c r="B27" s="2" t="s">
        <v>4</v>
      </c>
      <c r="C27" s="11">
        <v>398765</v>
      </c>
      <c r="D27" s="11">
        <v>524651</v>
      </c>
      <c r="E27" s="11">
        <v>584660</v>
      </c>
      <c r="F27" s="11">
        <v>768767</v>
      </c>
      <c r="G27" s="11">
        <v>781887</v>
      </c>
      <c r="H27" s="11">
        <v>688433</v>
      </c>
      <c r="I27" s="11">
        <v>654813</v>
      </c>
      <c r="L27" s="2" t="s">
        <v>4</v>
      </c>
      <c r="M27" s="11">
        <v>337721</v>
      </c>
      <c r="N27" s="11">
        <v>329232</v>
      </c>
      <c r="O27" s="78">
        <v>314719</v>
      </c>
    </row>
    <row r="28" spans="1:15" ht="16.149999999999999" customHeight="1" x14ac:dyDescent="0.25">
      <c r="B28" s="2" t="s">
        <v>7</v>
      </c>
      <c r="C28" s="11">
        <v>-21801</v>
      </c>
      <c r="D28" s="11">
        <v>-13079</v>
      </c>
      <c r="E28" s="11">
        <v>7448</v>
      </c>
      <c r="F28" s="11">
        <v>52665</v>
      </c>
      <c r="G28" s="11">
        <v>59386</v>
      </c>
      <c r="H28" s="11">
        <v>19392</v>
      </c>
      <c r="I28" s="11">
        <v>13225</v>
      </c>
      <c r="L28" s="2" t="s">
        <v>7</v>
      </c>
      <c r="M28" s="11">
        <v>44867</v>
      </c>
      <c r="N28" s="11">
        <v>58019</v>
      </c>
      <c r="O28" s="78">
        <v>58598</v>
      </c>
    </row>
    <row r="29" spans="1:15" s="29" customFormat="1" ht="16.149999999999999" customHeight="1" x14ac:dyDescent="0.25">
      <c r="B29" s="50" t="s">
        <v>8</v>
      </c>
      <c r="C29" s="50">
        <f t="shared" ref="C29:E29" si="2">IF(C27=0,"",C28/C27)</f>
        <v>-5.5E-2</v>
      </c>
      <c r="D29" s="50">
        <f t="shared" si="2"/>
        <v>-2.5000000000000001E-2</v>
      </c>
      <c r="E29" s="50">
        <f t="shared" si="2"/>
        <v>1.2999999999999999E-2</v>
      </c>
      <c r="F29" s="50">
        <f>IF(F27=0,"",F28/F27)</f>
        <v>6.9000000000000006E-2</v>
      </c>
      <c r="G29" s="50">
        <f>IF(G27=0,"",G28/G27)</f>
        <v>7.5999999999999998E-2</v>
      </c>
      <c r="H29" s="50">
        <f>IF(H27=0,"",H28/H27)</f>
        <v>2.8000000000000001E-2</v>
      </c>
      <c r="I29" s="50">
        <f>IF(I27=0,"",I28/I27)</f>
        <v>0.02</v>
      </c>
      <c r="L29" s="50" t="s">
        <v>8</v>
      </c>
      <c r="M29" s="50">
        <f>IF(M27=0,"",M28/M27)</f>
        <v>0.13300000000000001</v>
      </c>
      <c r="N29" s="50">
        <f>IF(N27=0,"",N28/N27)</f>
        <v>0.17599999999999999</v>
      </c>
      <c r="O29" s="88">
        <v>0.186</v>
      </c>
    </row>
    <row r="30" spans="1:15" ht="16.149999999999999" customHeight="1" x14ac:dyDescent="0.25">
      <c r="B30" s="2" t="s">
        <v>111</v>
      </c>
      <c r="C30" s="11">
        <v>342695</v>
      </c>
      <c r="D30" s="11">
        <v>332252</v>
      </c>
      <c r="E30" s="11">
        <v>545210</v>
      </c>
      <c r="F30" s="11">
        <v>378949</v>
      </c>
      <c r="G30" s="11">
        <v>390282</v>
      </c>
      <c r="H30" s="11">
        <v>409587</v>
      </c>
      <c r="I30" s="11">
        <v>446674</v>
      </c>
      <c r="L30" s="2" t="s">
        <v>112</v>
      </c>
      <c r="M30" s="11">
        <v>212156</v>
      </c>
      <c r="N30" s="11">
        <v>233969</v>
      </c>
      <c r="O30" s="78">
        <v>244275</v>
      </c>
    </row>
    <row r="31" spans="1:15" ht="16.149999999999999" customHeight="1" x14ac:dyDescent="0.25">
      <c r="B31" s="2" t="s">
        <v>39</v>
      </c>
      <c r="C31" s="11">
        <v>37544</v>
      </c>
      <c r="D31" s="11">
        <v>45064</v>
      </c>
      <c r="E31" s="11">
        <v>41053</v>
      </c>
      <c r="F31" s="11">
        <v>39706</v>
      </c>
      <c r="G31" s="11">
        <v>39926</v>
      </c>
      <c r="H31" s="11">
        <v>40732</v>
      </c>
      <c r="I31" s="11">
        <v>40406</v>
      </c>
      <c r="L31" s="2" t="s">
        <v>39</v>
      </c>
      <c r="M31" s="11">
        <v>11193</v>
      </c>
      <c r="N31" s="11">
        <v>12195</v>
      </c>
      <c r="O31" s="78">
        <v>12931</v>
      </c>
    </row>
    <row r="32" spans="1:15" ht="16.149999999999999" customHeight="1" x14ac:dyDescent="0.25">
      <c r="A32" s="4"/>
      <c r="B32" s="4" t="s">
        <v>113</v>
      </c>
      <c r="C32" s="13">
        <v>15976</v>
      </c>
      <c r="D32" s="13">
        <v>24241</v>
      </c>
      <c r="E32" s="13">
        <v>29346</v>
      </c>
      <c r="F32" s="13">
        <v>17024</v>
      </c>
      <c r="G32" s="13">
        <v>23887</v>
      </c>
      <c r="H32" s="13">
        <v>33458</v>
      </c>
      <c r="I32" s="13">
        <v>24079</v>
      </c>
      <c r="K32" s="4"/>
      <c r="L32" s="4" t="s">
        <v>114</v>
      </c>
      <c r="M32" s="13">
        <v>10127</v>
      </c>
      <c r="N32" s="13">
        <v>15271</v>
      </c>
      <c r="O32" s="79">
        <v>10432</v>
      </c>
    </row>
    <row r="33" spans="1:15" ht="16.149999999999999" customHeight="1" x14ac:dyDescent="0.25">
      <c r="A33" s="15"/>
      <c r="B33" s="15"/>
      <c r="C33" s="31"/>
      <c r="D33" s="31"/>
      <c r="E33" s="31"/>
      <c r="F33" s="31"/>
      <c r="G33" s="31"/>
      <c r="H33" s="31"/>
      <c r="I33" s="31"/>
      <c r="K33" s="2" t="s">
        <v>184</v>
      </c>
      <c r="O33" s="19"/>
    </row>
    <row r="34" spans="1:15" ht="16.149999999999999" customHeight="1" x14ac:dyDescent="0.25">
      <c r="A34" s="15"/>
      <c r="B34" s="15"/>
      <c r="C34" s="31"/>
      <c r="D34" s="31"/>
      <c r="E34" s="31"/>
      <c r="F34" s="31"/>
      <c r="G34" s="31"/>
      <c r="H34" s="31"/>
      <c r="I34" s="31"/>
      <c r="L34" s="2" t="s">
        <v>4</v>
      </c>
      <c r="M34" s="11">
        <v>178784</v>
      </c>
      <c r="N34" s="11">
        <v>212349</v>
      </c>
      <c r="O34" s="78">
        <v>189791</v>
      </c>
    </row>
    <row r="35" spans="1:15" ht="16.149999999999999" customHeight="1" x14ac:dyDescent="0.25">
      <c r="A35" s="15"/>
      <c r="B35" s="15"/>
      <c r="C35" s="31"/>
      <c r="D35" s="31"/>
      <c r="E35" s="31"/>
      <c r="F35" s="31"/>
      <c r="G35" s="31"/>
      <c r="H35" s="31"/>
      <c r="I35" s="31"/>
      <c r="L35" s="2" t="s">
        <v>7</v>
      </c>
      <c r="M35" s="11">
        <v>-97223</v>
      </c>
      <c r="N35" s="11">
        <v>-73795</v>
      </c>
      <c r="O35" s="78">
        <v>-86345</v>
      </c>
    </row>
    <row r="36" spans="1:15" ht="16.149999999999999" customHeight="1" x14ac:dyDescent="0.25">
      <c r="A36" s="15"/>
      <c r="B36" s="15"/>
      <c r="C36" s="31"/>
      <c r="D36" s="31"/>
      <c r="E36" s="31"/>
      <c r="F36" s="31"/>
      <c r="G36" s="31"/>
      <c r="H36" s="31"/>
      <c r="I36" s="31"/>
      <c r="K36" s="29"/>
      <c r="L36" s="50" t="s">
        <v>8</v>
      </c>
      <c r="M36" s="51" t="s">
        <v>188</v>
      </c>
      <c r="N36" s="51" t="s">
        <v>188</v>
      </c>
      <c r="O36" s="91" t="s">
        <v>133</v>
      </c>
    </row>
    <row r="37" spans="1:15" ht="16.149999999999999" customHeight="1" x14ac:dyDescent="0.25">
      <c r="A37" s="15"/>
      <c r="B37" s="15"/>
      <c r="C37" s="31"/>
      <c r="D37" s="31"/>
      <c r="E37" s="31"/>
      <c r="F37" s="31"/>
      <c r="G37" s="31"/>
      <c r="H37" s="31"/>
      <c r="I37" s="31"/>
      <c r="L37" s="2" t="s">
        <v>111</v>
      </c>
      <c r="M37" s="11">
        <v>2999754</v>
      </c>
      <c r="N37" s="11">
        <v>2952891</v>
      </c>
      <c r="O37" s="78">
        <v>3180186</v>
      </c>
    </row>
    <row r="38" spans="1:15" ht="16.149999999999999" customHeight="1" x14ac:dyDescent="0.25">
      <c r="A38" s="15"/>
      <c r="B38" s="15"/>
      <c r="C38" s="31"/>
      <c r="D38" s="31"/>
      <c r="E38" s="31"/>
      <c r="F38" s="31"/>
      <c r="G38" s="31"/>
      <c r="H38" s="31"/>
      <c r="I38" s="31"/>
      <c r="L38" s="2" t="s">
        <v>39</v>
      </c>
      <c r="M38" s="11">
        <v>106229</v>
      </c>
      <c r="N38" s="11">
        <v>107559</v>
      </c>
      <c r="O38" s="78">
        <v>119930</v>
      </c>
    </row>
    <row r="39" spans="1:15" ht="16.149999999999999" customHeight="1" x14ac:dyDescent="0.25">
      <c r="A39" s="15"/>
      <c r="B39" s="15"/>
      <c r="C39" s="31"/>
      <c r="D39" s="31"/>
      <c r="E39" s="31"/>
      <c r="F39" s="31"/>
      <c r="G39" s="31"/>
      <c r="H39" s="31"/>
      <c r="I39" s="31"/>
      <c r="K39" s="4"/>
      <c r="L39" s="4" t="s">
        <v>113</v>
      </c>
      <c r="M39" s="13">
        <v>81307</v>
      </c>
      <c r="N39" s="13">
        <v>71673</v>
      </c>
      <c r="O39" s="79">
        <v>115102</v>
      </c>
    </row>
    <row r="40" spans="1:15" ht="16.149999999999999" customHeight="1" x14ac:dyDescent="0.25">
      <c r="A40" s="45" t="s">
        <v>54</v>
      </c>
      <c r="B40" s="45"/>
      <c r="C40" s="45"/>
      <c r="D40" s="45"/>
      <c r="E40" s="45"/>
      <c r="F40" s="45"/>
      <c r="G40" s="45"/>
      <c r="H40" s="45"/>
      <c r="I40" s="45"/>
      <c r="K40" s="2" t="s">
        <v>186</v>
      </c>
      <c r="O40" s="19"/>
    </row>
    <row r="41" spans="1:15" ht="16.149999999999999" customHeight="1" x14ac:dyDescent="0.25">
      <c r="B41" s="2" t="s">
        <v>4</v>
      </c>
      <c r="C41" s="11">
        <v>-93439</v>
      </c>
      <c r="D41" s="11">
        <v>-99031</v>
      </c>
      <c r="E41" s="11">
        <v>-86281</v>
      </c>
      <c r="F41" s="11">
        <v>-89992</v>
      </c>
      <c r="G41" s="11">
        <v>-106318</v>
      </c>
      <c r="H41" s="11">
        <v>-93180</v>
      </c>
      <c r="I41" s="11">
        <v>-83094</v>
      </c>
      <c r="L41" s="2" t="s">
        <v>4</v>
      </c>
      <c r="M41" s="11">
        <v>-83698</v>
      </c>
      <c r="N41" s="11">
        <v>-99588</v>
      </c>
      <c r="O41" s="78">
        <v>-85019</v>
      </c>
    </row>
    <row r="42" spans="1:15" ht="16.149999999999999" customHeight="1" x14ac:dyDescent="0.25">
      <c r="B42" s="4" t="s">
        <v>7</v>
      </c>
      <c r="C42" s="13">
        <v>-119503</v>
      </c>
      <c r="D42" s="13">
        <v>-117217</v>
      </c>
      <c r="E42" s="13">
        <v>-105009</v>
      </c>
      <c r="F42" s="13">
        <v>-103244</v>
      </c>
      <c r="G42" s="13">
        <v>-89692</v>
      </c>
      <c r="H42" s="13">
        <v>-84879</v>
      </c>
      <c r="I42" s="13">
        <v>-81096</v>
      </c>
      <c r="L42" s="4" t="s">
        <v>7</v>
      </c>
      <c r="M42" s="13">
        <v>-730</v>
      </c>
      <c r="N42" s="13">
        <v>-851</v>
      </c>
      <c r="O42" s="79">
        <v>-2424</v>
      </c>
    </row>
    <row r="43" spans="1:15" ht="16.149999999999999" customHeight="1" x14ac:dyDescent="0.25">
      <c r="B43" s="2" t="s">
        <v>111</v>
      </c>
      <c r="C43" s="11">
        <v>2574900</v>
      </c>
      <c r="D43" s="11">
        <v>2622480</v>
      </c>
      <c r="E43" s="11">
        <v>3239909</v>
      </c>
      <c r="F43" s="11">
        <v>3250102</v>
      </c>
      <c r="G43" s="11">
        <v>2952350</v>
      </c>
      <c r="H43" s="11">
        <v>2896960</v>
      </c>
      <c r="I43" s="11">
        <v>2836715</v>
      </c>
      <c r="L43" s="2" t="s">
        <v>112</v>
      </c>
      <c r="M43" s="11">
        <v>-18334</v>
      </c>
      <c r="N43" s="11">
        <v>-21654</v>
      </c>
      <c r="O43" s="78">
        <v>-23191</v>
      </c>
    </row>
    <row r="44" spans="1:15" ht="16.149999999999999" customHeight="1" x14ac:dyDescent="0.25">
      <c r="B44" s="2" t="s">
        <v>39</v>
      </c>
      <c r="C44" s="11">
        <v>84966</v>
      </c>
      <c r="D44" s="11">
        <v>89987</v>
      </c>
      <c r="E44" s="11">
        <v>83338</v>
      </c>
      <c r="F44" s="11">
        <v>102892</v>
      </c>
      <c r="G44" s="11">
        <v>98102</v>
      </c>
      <c r="H44" s="11">
        <v>89969</v>
      </c>
      <c r="I44" s="11">
        <v>88443</v>
      </c>
      <c r="L44" s="2" t="s">
        <v>39</v>
      </c>
      <c r="M44" s="11">
        <v>0</v>
      </c>
      <c r="N44" s="11">
        <v>0</v>
      </c>
      <c r="O44" s="78">
        <v>0</v>
      </c>
    </row>
    <row r="45" spans="1:15" ht="16.149999999999999" customHeight="1" thickBot="1" x14ac:dyDescent="0.3">
      <c r="A45" s="14"/>
      <c r="B45" s="14" t="s">
        <v>113</v>
      </c>
      <c r="C45" s="42">
        <v>107956</v>
      </c>
      <c r="D45" s="42">
        <v>106733</v>
      </c>
      <c r="E45" s="42">
        <v>81280</v>
      </c>
      <c r="F45" s="42">
        <v>80529</v>
      </c>
      <c r="G45" s="42">
        <v>95036</v>
      </c>
      <c r="H45" s="42">
        <v>95000</v>
      </c>
      <c r="I45" s="42">
        <v>64054</v>
      </c>
      <c r="K45" s="14"/>
      <c r="L45" s="14" t="s">
        <v>114</v>
      </c>
      <c r="M45" s="42">
        <v>0</v>
      </c>
      <c r="N45" s="42">
        <v>0</v>
      </c>
      <c r="O45" s="89">
        <v>0</v>
      </c>
    </row>
    <row r="46" spans="1:15" ht="16.149999999999999" customHeight="1" x14ac:dyDescent="0.25">
      <c r="A46" s="2" t="s">
        <v>78</v>
      </c>
      <c r="K46" s="2" t="s">
        <v>78</v>
      </c>
      <c r="O46" s="19"/>
    </row>
    <row r="47" spans="1:15" ht="16.149999999999999" customHeight="1" x14ac:dyDescent="0.25">
      <c r="B47" s="2" t="s">
        <v>4</v>
      </c>
      <c r="C47" s="2">
        <f>C6+C20+C27+C41</f>
        <v>3727252</v>
      </c>
      <c r="D47" s="2">
        <f>D6+D20+D27+D41</f>
        <v>3800271</v>
      </c>
      <c r="E47" s="2">
        <f>E6+E20+E27+E41</f>
        <v>3401487</v>
      </c>
      <c r="F47" s="2">
        <f>F6+F20+F27+F41+F13</f>
        <v>4080015</v>
      </c>
      <c r="G47" s="2">
        <f>G6+G20+G27+G41+G13</f>
        <v>3951937</v>
      </c>
      <c r="H47" s="2">
        <f>H6+H20+H27+H41+H13</f>
        <v>3593299</v>
      </c>
      <c r="I47" s="2">
        <f>I6+I20+I27+I41+I13</f>
        <v>3160243</v>
      </c>
      <c r="L47" s="2" t="s">
        <v>4</v>
      </c>
      <c r="M47" s="2">
        <f t="shared" ref="M47:O48" si="3">M6+M20++M27+M34+M41+M13</f>
        <v>3513357</v>
      </c>
      <c r="N47" s="2">
        <f t="shared" si="3"/>
        <v>4031414</v>
      </c>
      <c r="O47" s="19">
        <f t="shared" si="3"/>
        <v>4180972</v>
      </c>
    </row>
    <row r="48" spans="1:15" ht="16.149999999999999" customHeight="1" x14ac:dyDescent="0.25">
      <c r="B48" s="2" t="s">
        <v>7</v>
      </c>
      <c r="C48" s="2">
        <f>C42+C28+C21+C7</f>
        <v>345354</v>
      </c>
      <c r="D48" s="2">
        <f>D42+D28+D21+D7</f>
        <v>343729</v>
      </c>
      <c r="E48" s="2">
        <f>E42+E28+E21+E7</f>
        <v>216338</v>
      </c>
      <c r="F48" s="2">
        <f>F42+F28+F21+F7+F14</f>
        <v>322211</v>
      </c>
      <c r="G48" s="2">
        <f>G42+G28+G21+G7+G14</f>
        <v>342452</v>
      </c>
      <c r="H48" s="2">
        <f>H42+H28+H21+H7+H14</f>
        <v>174420</v>
      </c>
      <c r="I48" s="2">
        <f>I42+I28+I21+I7+I14</f>
        <v>110547</v>
      </c>
      <c r="L48" s="2" t="s">
        <v>7</v>
      </c>
      <c r="M48" s="2">
        <f t="shared" si="3"/>
        <v>281918</v>
      </c>
      <c r="N48" s="2">
        <f t="shared" si="3"/>
        <v>353399</v>
      </c>
      <c r="O48" s="19">
        <f t="shared" si="3"/>
        <v>375366</v>
      </c>
    </row>
    <row r="49" spans="1:15" s="29" customFormat="1" ht="16.149999999999999" customHeight="1" x14ac:dyDescent="0.25">
      <c r="B49" s="50" t="s">
        <v>8</v>
      </c>
      <c r="C49" s="50">
        <f t="shared" ref="C49:G49" si="4">IF(C47=0,"",C48/C47)</f>
        <v>9.2999999999999999E-2</v>
      </c>
      <c r="D49" s="50">
        <f t="shared" si="4"/>
        <v>0.09</v>
      </c>
      <c r="E49" s="50">
        <f t="shared" si="4"/>
        <v>6.4000000000000001E-2</v>
      </c>
      <c r="F49" s="50">
        <f t="shared" si="4"/>
        <v>7.9000000000000001E-2</v>
      </c>
      <c r="G49" s="50">
        <f t="shared" si="4"/>
        <v>8.6999999999999994E-2</v>
      </c>
      <c r="H49" s="50">
        <f>IF(H47=0,"",H48/H47)</f>
        <v>4.9000000000000002E-2</v>
      </c>
      <c r="I49" s="50">
        <f>IF(I47=0,"",I48/I47)</f>
        <v>3.5000000000000003E-2</v>
      </c>
      <c r="L49" s="50" t="s">
        <v>8</v>
      </c>
      <c r="M49" s="50">
        <f>IF(M47=0,"",M48/M47)</f>
        <v>0.08</v>
      </c>
      <c r="N49" s="50">
        <f>IF(N47=0,"",N48/N47)</f>
        <v>8.7999999999999995E-2</v>
      </c>
      <c r="O49" s="88">
        <f>IF(O47=0,"",O48/O47)</f>
        <v>0.09</v>
      </c>
    </row>
    <row r="50" spans="1:15" ht="16.149999999999999" customHeight="1" x14ac:dyDescent="0.25">
      <c r="B50" s="2" t="s">
        <v>111</v>
      </c>
      <c r="C50" s="2">
        <f t="shared" ref="C50:E52" si="5">C43+C30+C23+C9</f>
        <v>4460618</v>
      </c>
      <c r="D50" s="2">
        <f t="shared" si="5"/>
        <v>4427773</v>
      </c>
      <c r="E50" s="2">
        <f t="shared" si="5"/>
        <v>5138529</v>
      </c>
      <c r="F50" s="2">
        <f t="shared" ref="F50:I52" si="6">F43+F30+F23+F9+F16</f>
        <v>5198291</v>
      </c>
      <c r="G50" s="2">
        <f t="shared" si="6"/>
        <v>4899465</v>
      </c>
      <c r="H50" s="2">
        <f t="shared" si="6"/>
        <v>4771918</v>
      </c>
      <c r="I50" s="2">
        <f t="shared" si="6"/>
        <v>4625614</v>
      </c>
      <c r="L50" s="2" t="s">
        <v>112</v>
      </c>
      <c r="M50" s="2">
        <f t="shared" ref="M50:M52" si="7">M9+M23++M30+M37+M43+M16</f>
        <v>4750888</v>
      </c>
      <c r="N50" s="2">
        <v>5095530</v>
      </c>
      <c r="O50" s="19">
        <v>5416577</v>
      </c>
    </row>
    <row r="51" spans="1:15" ht="16.149999999999999" customHeight="1" x14ac:dyDescent="0.25">
      <c r="B51" s="2" t="s">
        <v>39</v>
      </c>
      <c r="C51" s="2">
        <f t="shared" si="5"/>
        <v>263480</v>
      </c>
      <c r="D51" s="2">
        <f t="shared" si="5"/>
        <v>273327</v>
      </c>
      <c r="E51" s="2">
        <f t="shared" si="5"/>
        <v>250096</v>
      </c>
      <c r="F51" s="2">
        <f t="shared" si="6"/>
        <v>261881</v>
      </c>
      <c r="G51" s="2">
        <f t="shared" si="6"/>
        <v>251554</v>
      </c>
      <c r="H51" s="2">
        <f t="shared" si="6"/>
        <v>237327</v>
      </c>
      <c r="I51" s="2">
        <f t="shared" si="6"/>
        <v>227825</v>
      </c>
      <c r="L51" s="2" t="s">
        <v>39</v>
      </c>
      <c r="M51" s="2">
        <f t="shared" si="7"/>
        <v>221246</v>
      </c>
      <c r="N51" s="2">
        <v>226492</v>
      </c>
      <c r="O51" s="19">
        <v>238676</v>
      </c>
    </row>
    <row r="52" spans="1:15" ht="16.149999999999999" customHeight="1" thickBot="1" x14ac:dyDescent="0.3">
      <c r="A52" s="14"/>
      <c r="B52" s="14" t="s">
        <v>113</v>
      </c>
      <c r="C52" s="14">
        <f t="shared" si="5"/>
        <v>224760</v>
      </c>
      <c r="D52" s="14">
        <f t="shared" si="5"/>
        <v>243130</v>
      </c>
      <c r="E52" s="14">
        <f t="shared" si="5"/>
        <v>208379</v>
      </c>
      <c r="F52" s="14">
        <f t="shared" si="6"/>
        <v>181389</v>
      </c>
      <c r="G52" s="14">
        <f t="shared" si="6"/>
        <v>200504</v>
      </c>
      <c r="H52" s="14">
        <f t="shared" si="6"/>
        <v>211228</v>
      </c>
      <c r="I52" s="14">
        <f t="shared" si="6"/>
        <v>161727</v>
      </c>
      <c r="K52" s="14"/>
      <c r="L52" s="14" t="s">
        <v>114</v>
      </c>
      <c r="M52" s="14">
        <f t="shared" si="7"/>
        <v>179000</v>
      </c>
      <c r="N52" s="14">
        <v>183291</v>
      </c>
      <c r="O52" s="87">
        <v>231725</v>
      </c>
    </row>
    <row r="53" spans="1:15" s="17" customFormat="1" ht="3.75" customHeight="1" x14ac:dyDescent="0.25">
      <c r="A53" s="53"/>
      <c r="B53" s="54"/>
      <c r="C53" s="55"/>
      <c r="D53" s="55"/>
      <c r="E53" s="55"/>
      <c r="F53" s="55"/>
      <c r="G53" s="55"/>
      <c r="H53" s="55"/>
      <c r="I53" s="55"/>
    </row>
    <row r="54" spans="1:15" ht="16.149999999999999" customHeight="1" x14ac:dyDescent="0.25">
      <c r="A54" s="53"/>
      <c r="B54" s="56"/>
      <c r="C54" s="55"/>
      <c r="D54" s="55"/>
      <c r="E54" s="55"/>
      <c r="F54" s="55"/>
      <c r="G54" s="55"/>
      <c r="H54" s="55"/>
      <c r="I54" s="55"/>
    </row>
    <row r="55" spans="1:15" ht="16.149999999999999" customHeight="1" x14ac:dyDescent="0.25">
      <c r="A55" s="16" t="s">
        <v>68</v>
      </c>
      <c r="B55" s="106" t="s">
        <v>170</v>
      </c>
      <c r="C55" s="106"/>
      <c r="D55" s="106"/>
      <c r="E55" s="106"/>
      <c r="F55" s="106"/>
      <c r="G55" s="106"/>
      <c r="H55" s="106"/>
      <c r="I55" s="106"/>
      <c r="J55" s="106"/>
      <c r="K55" s="73"/>
      <c r="L55" s="73"/>
    </row>
    <row r="56" spans="1:15" ht="15" customHeight="1" x14ac:dyDescent="0.25">
      <c r="A56" s="16" t="s">
        <v>68</v>
      </c>
      <c r="B56" s="75" t="s">
        <v>181</v>
      </c>
      <c r="C56" s="75"/>
      <c r="D56" s="75"/>
      <c r="E56" s="75"/>
      <c r="F56" s="75"/>
      <c r="G56" s="75"/>
      <c r="H56" s="75"/>
      <c r="I56" s="75"/>
      <c r="J56" s="75"/>
      <c r="K56" s="75"/>
      <c r="L56" s="75"/>
    </row>
    <row r="57" spans="1:15" ht="16.149999999999999" customHeight="1" x14ac:dyDescent="0.25">
      <c r="B57" s="75" t="s">
        <v>182</v>
      </c>
      <c r="C57" s="75"/>
      <c r="D57" s="75"/>
      <c r="E57" s="75"/>
      <c r="F57" s="75"/>
      <c r="G57" s="75"/>
      <c r="H57" s="75"/>
      <c r="I57" s="75"/>
      <c r="J57" s="75"/>
      <c r="K57" s="75"/>
      <c r="L57" s="75"/>
    </row>
    <row r="58" spans="1:15" ht="16.149999999999999" customHeight="1" x14ac:dyDescent="0.25">
      <c r="A58" s="100" t="s">
        <v>68</v>
      </c>
      <c r="B58" s="100" t="s">
        <v>190</v>
      </c>
      <c r="C58" s="100"/>
      <c r="D58" s="100"/>
      <c r="E58" s="100"/>
      <c r="F58" s="100"/>
      <c r="G58" s="100"/>
      <c r="H58" s="100"/>
      <c r="I58" s="100"/>
      <c r="J58" s="100"/>
    </row>
  </sheetData>
  <mergeCells count="1">
    <mergeCell ref="B55:J55"/>
  </mergeCells>
  <phoneticPr fontId="2"/>
  <printOptions horizontalCentered="1"/>
  <pageMargins left="0.43307086614173229" right="0.47244094488188981" top="0.39370078740157483" bottom="0.19685039370078741" header="0.31496062992125984" footer="0.19685039370078741"/>
  <pageSetup paperSize="9" scale="64" orientation="landscape" blackAndWhite="1" r:id="rId1"/>
  <headerFooter differentFirst="1" scaleWithDoc="0"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6"/>
  <sheetViews>
    <sheetView showGridLines="0" view="pageBreakPreview" zoomScale="85" zoomScaleNormal="100" zoomScaleSheetLayoutView="85" workbookViewId="0">
      <pane xSplit="2" ySplit="2" topLeftCell="C29" activePane="bottomRight" state="frozen"/>
      <selection activeCell="E13" sqref="E13"/>
      <selection pane="topRight" activeCell="E13" sqref="E13"/>
      <selection pane="bottomLeft" activeCell="E13" sqref="E13"/>
      <selection pane="bottomRight" activeCell="E13" sqref="E13"/>
    </sheetView>
  </sheetViews>
  <sheetFormatPr defaultColWidth="10.75" defaultRowHeight="16.149999999999999" customHeight="1" x14ac:dyDescent="0.25"/>
  <cols>
    <col min="1" max="1" width="3.375" style="2" customWidth="1"/>
    <col min="2" max="2" width="35" style="2" customWidth="1"/>
    <col min="3" max="3" width="7.5" style="55" customWidth="1"/>
    <col min="4" max="13" width="13" style="2" customWidth="1"/>
    <col min="14" max="14" width="17.125" style="2" bestFit="1" customWidth="1"/>
    <col min="15" max="16" width="10.75" style="2"/>
    <col min="17" max="18" width="26.875" style="2" bestFit="1" customWidth="1"/>
    <col min="19" max="16384" width="10.75" style="2"/>
  </cols>
  <sheetData>
    <row r="1" spans="1:13" ht="25.5" customHeight="1" x14ac:dyDescent="0.35">
      <c r="A1" s="1"/>
      <c r="D1" s="3"/>
      <c r="E1" s="3"/>
    </row>
    <row r="2" spans="1:13" s="6" customFormat="1" ht="16.5" x14ac:dyDescent="0.25">
      <c r="A2" s="4"/>
      <c r="B2" s="5"/>
      <c r="C2" s="57"/>
      <c r="D2" s="5">
        <v>2014</v>
      </c>
      <c r="E2" s="5">
        <v>2015</v>
      </c>
      <c r="F2" s="5">
        <v>2016</v>
      </c>
      <c r="G2" s="5">
        <v>2017</v>
      </c>
      <c r="H2" s="5">
        <v>2018</v>
      </c>
      <c r="I2" s="5">
        <v>2019</v>
      </c>
      <c r="J2" s="5">
        <v>2020</v>
      </c>
      <c r="K2" s="5">
        <v>2021</v>
      </c>
      <c r="L2" s="5">
        <v>2022</v>
      </c>
      <c r="M2" s="77">
        <v>2023</v>
      </c>
    </row>
    <row r="3" spans="1:13" ht="30" customHeight="1" x14ac:dyDescent="0.35">
      <c r="A3" s="1" t="s">
        <v>173</v>
      </c>
      <c r="M3" s="19"/>
    </row>
    <row r="4" spans="1:13" ht="16.5" x14ac:dyDescent="0.25">
      <c r="B4" s="17"/>
      <c r="C4" s="55" t="s">
        <v>3</v>
      </c>
      <c r="M4" s="19"/>
    </row>
    <row r="5" spans="1:13" ht="20.25" customHeight="1" x14ac:dyDescent="0.25">
      <c r="B5" s="2" t="s">
        <v>115</v>
      </c>
      <c r="D5" s="2">
        <v>254627</v>
      </c>
      <c r="E5" s="2">
        <v>219943</v>
      </c>
      <c r="F5" s="2">
        <v>150334</v>
      </c>
      <c r="G5" s="2">
        <v>242081</v>
      </c>
      <c r="H5" s="2">
        <v>252441</v>
      </c>
      <c r="I5" s="2">
        <v>124964</v>
      </c>
      <c r="J5" s="2">
        <v>83318</v>
      </c>
      <c r="K5" s="2">
        <v>214718</v>
      </c>
      <c r="L5" s="2">
        <v>243961</v>
      </c>
      <c r="M5" s="19">
        <v>264513</v>
      </c>
    </row>
    <row r="6" spans="1:13" ht="20.25" customHeight="1" x14ac:dyDescent="0.25">
      <c r="B6" s="4" t="s">
        <v>39</v>
      </c>
      <c r="C6" s="58"/>
      <c r="D6" s="13">
        <v>263480</v>
      </c>
      <c r="E6" s="13">
        <v>273327</v>
      </c>
      <c r="F6" s="13">
        <v>250096</v>
      </c>
      <c r="G6" s="13">
        <v>261881</v>
      </c>
      <c r="H6" s="13">
        <v>251554</v>
      </c>
      <c r="I6" s="13">
        <v>237327</v>
      </c>
      <c r="J6" s="13">
        <v>227825</v>
      </c>
      <c r="K6" s="13">
        <v>221246</v>
      </c>
      <c r="L6" s="13">
        <v>226492</v>
      </c>
      <c r="M6" s="79">
        <v>238676</v>
      </c>
    </row>
    <row r="7" spans="1:13" ht="20.25" customHeight="1" x14ac:dyDescent="0.25">
      <c r="B7" s="2" t="s">
        <v>55</v>
      </c>
      <c r="D7" s="2">
        <f t="shared" ref="D7:F7" si="0">SUM(D5:D6)</f>
        <v>518107</v>
      </c>
      <c r="E7" s="2">
        <f t="shared" si="0"/>
        <v>493270</v>
      </c>
      <c r="F7" s="2">
        <f t="shared" si="0"/>
        <v>400430</v>
      </c>
      <c r="G7" s="2">
        <f t="shared" ref="G7:L7" si="1">SUM(G5:G6)</f>
        <v>503962</v>
      </c>
      <c r="H7" s="2">
        <f t="shared" si="1"/>
        <v>503995</v>
      </c>
      <c r="I7" s="2">
        <f t="shared" si="1"/>
        <v>362291</v>
      </c>
      <c r="J7" s="2">
        <f t="shared" si="1"/>
        <v>311143</v>
      </c>
      <c r="K7" s="2">
        <f t="shared" si="1"/>
        <v>435964</v>
      </c>
      <c r="L7" s="2">
        <f t="shared" si="1"/>
        <v>470453</v>
      </c>
      <c r="M7" s="19">
        <f t="shared" ref="M7" si="2">SUM(M5:M6)</f>
        <v>503189</v>
      </c>
    </row>
    <row r="8" spans="1:13" ht="20.25" customHeight="1" thickBot="1" x14ac:dyDescent="0.3">
      <c r="A8" s="14"/>
      <c r="B8" s="14" t="s">
        <v>1</v>
      </c>
      <c r="C8" s="59"/>
      <c r="D8" s="42">
        <v>224760</v>
      </c>
      <c r="E8" s="42">
        <v>243130</v>
      </c>
      <c r="F8" s="42">
        <v>208379</v>
      </c>
      <c r="G8" s="42">
        <v>181389</v>
      </c>
      <c r="H8" s="42">
        <v>200504</v>
      </c>
      <c r="I8" s="42">
        <v>211228</v>
      </c>
      <c r="J8" s="42">
        <v>161727</v>
      </c>
      <c r="K8" s="42">
        <v>179000</v>
      </c>
      <c r="L8" s="42">
        <v>183291</v>
      </c>
      <c r="M8" s="89">
        <v>231725</v>
      </c>
    </row>
    <row r="9" spans="1:13" ht="29.25" customHeight="1" x14ac:dyDescent="0.35">
      <c r="A9" s="1" t="s">
        <v>157</v>
      </c>
      <c r="M9" s="19"/>
    </row>
    <row r="10" spans="1:13" ht="16.5" x14ac:dyDescent="0.25">
      <c r="B10" s="17"/>
      <c r="C10" s="55" t="s">
        <v>3</v>
      </c>
      <c r="M10" s="19"/>
    </row>
    <row r="11" spans="1:13" ht="20.25" customHeight="1" x14ac:dyDescent="0.25">
      <c r="B11" s="2" t="s">
        <v>175</v>
      </c>
      <c r="D11" s="11">
        <v>308979</v>
      </c>
      <c r="E11" s="11">
        <v>328500</v>
      </c>
      <c r="F11" s="11">
        <v>302376</v>
      </c>
      <c r="G11" s="11">
        <v>333371</v>
      </c>
      <c r="H11" s="11">
        <v>315842</v>
      </c>
      <c r="I11" s="11">
        <v>298503</v>
      </c>
      <c r="J11" s="11">
        <v>272312</v>
      </c>
      <c r="K11" s="11">
        <v>287338</v>
      </c>
      <c r="L11" s="11">
        <v>306730</v>
      </c>
      <c r="M11" s="78">
        <v>331914</v>
      </c>
    </row>
    <row r="12" spans="1:13" s="29" customFormat="1" ht="20.25" customHeight="1" thickBot="1" x14ac:dyDescent="0.3">
      <c r="A12" s="32"/>
      <c r="B12" s="32" t="s">
        <v>121</v>
      </c>
      <c r="C12" s="60"/>
      <c r="D12" s="32">
        <v>8.3000000000000004E-2</v>
      </c>
      <c r="E12" s="32">
        <v>8.5999999999999993E-2</v>
      </c>
      <c r="F12" s="32">
        <v>8.8999999999999996E-2</v>
      </c>
      <c r="G12" s="32">
        <v>8.2000000000000003E-2</v>
      </c>
      <c r="H12" s="32">
        <v>0.08</v>
      </c>
      <c r="I12" s="32">
        <v>8.3000000000000004E-2</v>
      </c>
      <c r="J12" s="32">
        <v>8.5999999999999993E-2</v>
      </c>
      <c r="K12" s="32">
        <v>8.2000000000000003E-2</v>
      </c>
      <c r="L12" s="32">
        <v>7.5999999999999998E-2</v>
      </c>
      <c r="M12" s="92">
        <v>7.9000000000000001E-2</v>
      </c>
    </row>
    <row r="13" spans="1:13" ht="29.25" customHeight="1" x14ac:dyDescent="0.35">
      <c r="A13" s="1" t="s">
        <v>176</v>
      </c>
      <c r="M13" s="19"/>
    </row>
    <row r="14" spans="1:13" ht="16.5" customHeight="1" x14ac:dyDescent="0.35">
      <c r="A14" s="1"/>
      <c r="M14" s="19"/>
    </row>
    <row r="15" spans="1:13" s="29" customFormat="1" ht="20.25" customHeight="1" x14ac:dyDescent="0.25">
      <c r="B15" s="61" t="s">
        <v>177</v>
      </c>
      <c r="C15" s="62"/>
      <c r="D15" s="29">
        <v>5.8000000000000003E-2</v>
      </c>
      <c r="E15" s="29">
        <v>4.9000000000000002E-2</v>
      </c>
      <c r="F15" s="29">
        <v>3.1E-2</v>
      </c>
      <c r="G15" s="29">
        <v>4.7E-2</v>
      </c>
      <c r="H15" s="29">
        <v>0.05</v>
      </c>
      <c r="I15" s="29">
        <v>2.5999999999999999E-2</v>
      </c>
      <c r="J15" s="29">
        <v>1.7999999999999999E-2</v>
      </c>
      <c r="K15" s="29">
        <v>4.5999999999999999E-2</v>
      </c>
      <c r="L15" s="29">
        <v>0.05</v>
      </c>
      <c r="M15" s="93">
        <v>0.05</v>
      </c>
    </row>
    <row r="16" spans="1:13" s="29" customFormat="1" ht="20.25" customHeight="1" x14ac:dyDescent="0.25">
      <c r="B16" s="61" t="s">
        <v>178</v>
      </c>
      <c r="C16" s="62"/>
      <c r="D16" s="29">
        <v>8.6999999999999994E-2</v>
      </c>
      <c r="E16" s="29">
        <v>7.3999999999999996E-2</v>
      </c>
      <c r="F16" s="29">
        <v>5.1999999999999998E-2</v>
      </c>
      <c r="G16" s="29">
        <v>8.5999999999999993E-2</v>
      </c>
      <c r="H16" s="29">
        <v>8.8999999999999996E-2</v>
      </c>
      <c r="I16" s="29">
        <v>4.4999999999999998E-2</v>
      </c>
      <c r="J16" s="29">
        <v>3.2000000000000001E-2</v>
      </c>
      <c r="K16" s="29">
        <v>7.9000000000000001E-2</v>
      </c>
      <c r="L16" s="29">
        <v>8.1000000000000003E-2</v>
      </c>
      <c r="M16" s="93">
        <v>8.2000000000000003E-2</v>
      </c>
    </row>
    <row r="17" spans="1:16" s="35" customFormat="1" ht="20.25" customHeight="1" x14ac:dyDescent="0.25">
      <c r="B17" s="35" t="s">
        <v>118</v>
      </c>
      <c r="C17" s="63" t="s">
        <v>56</v>
      </c>
      <c r="D17" s="64">
        <v>0.9</v>
      </c>
      <c r="E17" s="64">
        <v>0.9</v>
      </c>
      <c r="F17" s="64">
        <v>0.7</v>
      </c>
      <c r="G17" s="64">
        <v>0.8</v>
      </c>
      <c r="H17" s="64">
        <v>0.8</v>
      </c>
      <c r="I17" s="64">
        <v>0.7</v>
      </c>
      <c r="J17" s="64">
        <v>0.7</v>
      </c>
      <c r="K17" s="64">
        <v>0.7</v>
      </c>
      <c r="L17" s="64">
        <v>0.8</v>
      </c>
      <c r="M17" s="94">
        <v>0.8</v>
      </c>
    </row>
    <row r="18" spans="1:16" s="29" customFormat="1" ht="20.25" customHeight="1" x14ac:dyDescent="0.25">
      <c r="B18" s="29" t="s">
        <v>57</v>
      </c>
      <c r="C18" s="62"/>
      <c r="D18" s="29">
        <v>0.66600000000000004</v>
      </c>
      <c r="E18" s="29">
        <v>0.66800000000000004</v>
      </c>
      <c r="F18" s="29">
        <v>0.54</v>
      </c>
      <c r="G18" s="29">
        <v>0.55100000000000005</v>
      </c>
      <c r="H18" s="29">
        <v>0.57499999999999996</v>
      </c>
      <c r="I18" s="29">
        <v>0.56299999999999994</v>
      </c>
      <c r="J18" s="29">
        <v>0.55700000000000005</v>
      </c>
      <c r="K18" s="29">
        <v>0.60499999999999998</v>
      </c>
      <c r="L18" s="29">
        <v>0.61099999999999999</v>
      </c>
      <c r="M18" s="93">
        <v>0.61899999999999999</v>
      </c>
    </row>
    <row r="19" spans="1:16" s="29" customFormat="1" ht="20.25" customHeight="1" x14ac:dyDescent="0.25">
      <c r="B19" s="65" t="s">
        <v>169</v>
      </c>
      <c r="C19" s="62"/>
      <c r="D19" s="29">
        <v>0</v>
      </c>
      <c r="E19" s="29">
        <v>0</v>
      </c>
      <c r="F19" s="29">
        <v>0.11899999999999999</v>
      </c>
      <c r="G19" s="29">
        <v>0.10199999999999999</v>
      </c>
      <c r="H19" s="29">
        <v>8.2000000000000003E-2</v>
      </c>
      <c r="I19" s="29">
        <v>0.108</v>
      </c>
      <c r="J19" s="29">
        <v>0.109</v>
      </c>
      <c r="K19" s="29">
        <v>6.8000000000000005E-2</v>
      </c>
      <c r="L19" s="29">
        <v>8.2000000000000003E-2</v>
      </c>
      <c r="M19" s="93">
        <v>9.6000000000000002E-2</v>
      </c>
    </row>
    <row r="20" spans="1:16" ht="20.25" customHeight="1" x14ac:dyDescent="0.25">
      <c r="B20" s="2" t="s">
        <v>122</v>
      </c>
      <c r="C20" s="55" t="s">
        <v>58</v>
      </c>
      <c r="D20" s="11">
        <v>50</v>
      </c>
      <c r="E20" s="11">
        <v>47</v>
      </c>
      <c r="F20" s="11">
        <v>59</v>
      </c>
      <c r="G20" s="11">
        <v>49</v>
      </c>
      <c r="H20" s="11">
        <v>56</v>
      </c>
      <c r="I20" s="11">
        <v>59</v>
      </c>
      <c r="J20" s="11">
        <v>60</v>
      </c>
      <c r="K20" s="11">
        <v>66</v>
      </c>
      <c r="L20" s="11">
        <v>69</v>
      </c>
      <c r="M20" s="78">
        <v>66</v>
      </c>
    </row>
    <row r="21" spans="1:16" s="35" customFormat="1" ht="20.25" customHeight="1" x14ac:dyDescent="0.25">
      <c r="B21" s="35" t="s">
        <v>123</v>
      </c>
      <c r="C21" s="63" t="s">
        <v>59</v>
      </c>
      <c r="D21" s="66">
        <v>742.8</v>
      </c>
      <c r="E21" s="66">
        <v>617.70000000000005</v>
      </c>
      <c r="F21" s="66">
        <v>220.2</v>
      </c>
      <c r="G21" s="66">
        <v>400.5</v>
      </c>
      <c r="H21" s="66">
        <v>438.6</v>
      </c>
      <c r="I21" s="66">
        <v>168</v>
      </c>
      <c r="J21" s="66">
        <v>129.4</v>
      </c>
      <c r="K21" s="66">
        <v>439.2</v>
      </c>
      <c r="L21" s="66">
        <v>342.8</v>
      </c>
      <c r="M21" s="95">
        <v>171.5</v>
      </c>
    </row>
    <row r="22" spans="1:16" ht="20.25" customHeight="1" x14ac:dyDescent="0.25">
      <c r="B22" s="2" t="s">
        <v>65</v>
      </c>
      <c r="C22" s="55" t="s">
        <v>3</v>
      </c>
      <c r="D22" s="2">
        <v>7406</v>
      </c>
      <c r="E22" s="2">
        <v>4917</v>
      </c>
      <c r="F22" s="2">
        <v>3701</v>
      </c>
      <c r="G22" s="2">
        <v>5194</v>
      </c>
      <c r="H22" s="2">
        <v>5807</v>
      </c>
      <c r="I22" s="2">
        <v>4488</v>
      </c>
      <c r="J22" s="2">
        <v>2069</v>
      </c>
      <c r="K22" s="2">
        <v>1585</v>
      </c>
      <c r="L22" s="2">
        <v>4131</v>
      </c>
      <c r="M22" s="19">
        <v>11158</v>
      </c>
    </row>
    <row r="23" spans="1:16" ht="20.25" customHeight="1" x14ac:dyDescent="0.25">
      <c r="B23" s="2" t="s">
        <v>103</v>
      </c>
      <c r="C23" s="55" t="s">
        <v>16</v>
      </c>
      <c r="D23" s="11">
        <v>3840.5</v>
      </c>
      <c r="E23" s="11">
        <v>3675</v>
      </c>
      <c r="F23" s="68">
        <v>3295</v>
      </c>
      <c r="G23" s="68">
        <v>4200</v>
      </c>
      <c r="H23" s="68">
        <v>3001</v>
      </c>
      <c r="I23" s="68">
        <v>2987</v>
      </c>
      <c r="J23" s="68">
        <v>1978</v>
      </c>
      <c r="K23" s="68">
        <v>2801</v>
      </c>
      <c r="L23" s="68">
        <v>2856</v>
      </c>
      <c r="M23" s="96">
        <v>3620</v>
      </c>
      <c r="O23" s="35"/>
      <c r="P23" s="35"/>
    </row>
    <row r="24" spans="1:16" s="35" customFormat="1" ht="20.25" customHeight="1" x14ac:dyDescent="0.25">
      <c r="B24" s="35" t="s">
        <v>129</v>
      </c>
      <c r="C24" s="63" t="s">
        <v>59</v>
      </c>
      <c r="D24" s="35">
        <v>16.8</v>
      </c>
      <c r="E24" s="35">
        <v>18.2</v>
      </c>
      <c r="F24" s="35">
        <v>23.9</v>
      </c>
      <c r="G24" s="35">
        <v>18.8</v>
      </c>
      <c r="H24" s="35">
        <v>12.8</v>
      </c>
      <c r="I24" s="35">
        <v>25.6</v>
      </c>
      <c r="J24" s="35">
        <v>24.9</v>
      </c>
      <c r="K24" s="35">
        <v>13.6</v>
      </c>
      <c r="L24" s="35">
        <v>12.1</v>
      </c>
      <c r="M24" s="85">
        <v>13.7</v>
      </c>
      <c r="O24" s="69"/>
    </row>
    <row r="25" spans="1:16" s="35" customFormat="1" ht="20.25" customHeight="1" x14ac:dyDescent="0.25">
      <c r="B25" s="35" t="s">
        <v>104</v>
      </c>
      <c r="C25" s="63" t="s">
        <v>59</v>
      </c>
      <c r="D25" s="35">
        <v>1.4</v>
      </c>
      <c r="E25" s="35">
        <v>1.4</v>
      </c>
      <c r="F25" s="35">
        <v>1.3</v>
      </c>
      <c r="G25" s="35">
        <v>1.6</v>
      </c>
      <c r="H25" s="35">
        <v>1.1000000000000001</v>
      </c>
      <c r="I25" s="35">
        <v>1.2</v>
      </c>
      <c r="J25" s="35">
        <v>0.8</v>
      </c>
      <c r="K25" s="35">
        <v>1</v>
      </c>
      <c r="L25" s="35">
        <v>0.9</v>
      </c>
      <c r="M25" s="85">
        <v>1.1000000000000001</v>
      </c>
    </row>
    <row r="26" spans="1:16" s="15" customFormat="1" ht="20.25" customHeight="1" x14ac:dyDescent="0.25">
      <c r="B26" s="15" t="s">
        <v>130</v>
      </c>
      <c r="C26" s="56" t="s">
        <v>60</v>
      </c>
      <c r="D26" s="70">
        <v>1333763</v>
      </c>
      <c r="E26" s="70">
        <v>1333763</v>
      </c>
      <c r="F26" s="70">
        <v>1333763</v>
      </c>
      <c r="G26" s="70">
        <v>1333763</v>
      </c>
      <c r="H26" s="70">
        <v>1333763</v>
      </c>
      <c r="I26" s="70">
        <v>1333763</v>
      </c>
      <c r="J26" s="70">
        <v>1333763</v>
      </c>
      <c r="K26" s="70">
        <v>1333763</v>
      </c>
      <c r="L26" s="70">
        <v>1333763</v>
      </c>
      <c r="M26" s="97">
        <v>1333763</v>
      </c>
      <c r="O26" s="71"/>
    </row>
    <row r="27" spans="1:16" ht="20.25" customHeight="1" thickBot="1" x14ac:dyDescent="0.3">
      <c r="A27" s="14"/>
      <c r="B27" s="14" t="s">
        <v>61</v>
      </c>
      <c r="C27" s="59" t="s">
        <v>3</v>
      </c>
      <c r="D27" s="14">
        <v>5122319</v>
      </c>
      <c r="E27" s="14">
        <v>4901581</v>
      </c>
      <c r="F27" s="14">
        <v>4394751</v>
      </c>
      <c r="G27" s="14">
        <v>5601807</v>
      </c>
      <c r="H27" s="14">
        <v>4002624</v>
      </c>
      <c r="I27" s="14">
        <v>3983950</v>
      </c>
      <c r="J27" s="14">
        <v>2638183</v>
      </c>
      <c r="K27" s="14">
        <v>3735870</v>
      </c>
      <c r="L27" s="14">
        <v>3809227</v>
      </c>
      <c r="M27" s="87">
        <v>4828222</v>
      </c>
      <c r="N27" s="67"/>
    </row>
    <row r="28" spans="1:16" ht="30.75" customHeight="1" x14ac:dyDescent="0.35">
      <c r="A28" s="1" t="s">
        <v>158</v>
      </c>
      <c r="D28" s="72"/>
      <c r="E28" s="72"/>
      <c r="F28" s="72"/>
      <c r="G28" s="72"/>
      <c r="H28" s="72"/>
      <c r="I28" s="72"/>
      <c r="J28" s="72"/>
      <c r="K28" s="72"/>
      <c r="L28" s="72"/>
      <c r="M28" s="98"/>
    </row>
    <row r="29" spans="1:16" ht="16.350000000000001" customHeight="1" x14ac:dyDescent="0.25">
      <c r="B29" s="17" t="s">
        <v>62</v>
      </c>
      <c r="D29" s="72"/>
      <c r="E29" s="72"/>
      <c r="F29" s="72"/>
      <c r="G29" s="72"/>
      <c r="H29" s="72"/>
      <c r="I29" s="72"/>
      <c r="J29" s="72"/>
      <c r="K29" s="72"/>
      <c r="L29" s="72"/>
      <c r="M29" s="98"/>
    </row>
    <row r="30" spans="1:16" ht="20.25" customHeight="1" x14ac:dyDescent="0.25">
      <c r="B30" s="2" t="s">
        <v>49</v>
      </c>
      <c r="D30" s="11">
        <v>69201</v>
      </c>
      <c r="E30" s="11">
        <v>68325</v>
      </c>
      <c r="F30" s="11">
        <v>72913</v>
      </c>
      <c r="G30" s="11">
        <v>73665</v>
      </c>
      <c r="H30" s="11">
        <v>73460</v>
      </c>
      <c r="I30" s="11">
        <v>72979</v>
      </c>
      <c r="J30" s="11">
        <v>72338</v>
      </c>
      <c r="K30" s="11">
        <v>70924</v>
      </c>
      <c r="L30" s="11">
        <v>69455</v>
      </c>
      <c r="M30" s="78">
        <v>68532</v>
      </c>
    </row>
    <row r="31" spans="1:16" ht="16.350000000000001" customHeight="1" x14ac:dyDescent="0.25">
      <c r="B31" s="2" t="s">
        <v>50</v>
      </c>
      <c r="M31" s="19"/>
    </row>
    <row r="32" spans="1:16" ht="20.25" customHeight="1" x14ac:dyDescent="0.25">
      <c r="B32" s="2" t="s">
        <v>105</v>
      </c>
      <c r="D32" s="11">
        <v>18029</v>
      </c>
      <c r="E32" s="11">
        <v>17635</v>
      </c>
      <c r="F32" s="11">
        <v>19160</v>
      </c>
      <c r="G32" s="11">
        <v>18448</v>
      </c>
      <c r="H32" s="11">
        <v>18361</v>
      </c>
      <c r="I32" s="11">
        <v>18207</v>
      </c>
      <c r="J32" s="11">
        <v>15307</v>
      </c>
      <c r="K32" s="11">
        <v>15263</v>
      </c>
      <c r="L32" s="11">
        <v>15771</v>
      </c>
      <c r="M32" s="78">
        <v>15945</v>
      </c>
    </row>
    <row r="33" spans="1:18" ht="20.25" customHeight="1" x14ac:dyDescent="0.25">
      <c r="B33" s="2" t="s">
        <v>124</v>
      </c>
      <c r="D33" s="11">
        <v>22356</v>
      </c>
      <c r="E33" s="11">
        <v>24826</v>
      </c>
      <c r="F33" s="11">
        <v>25511</v>
      </c>
      <c r="G33" s="11">
        <v>25623</v>
      </c>
      <c r="H33" s="11">
        <v>25281</v>
      </c>
      <c r="I33" s="11">
        <v>23126</v>
      </c>
      <c r="J33" s="11">
        <v>22578</v>
      </c>
      <c r="K33" s="11">
        <v>22166</v>
      </c>
      <c r="L33" s="11">
        <v>22214</v>
      </c>
      <c r="M33" s="78">
        <v>22651</v>
      </c>
    </row>
    <row r="34" spans="1:18" ht="20.25" customHeight="1" x14ac:dyDescent="0.25">
      <c r="B34" s="4" t="s">
        <v>125</v>
      </c>
      <c r="C34" s="58"/>
      <c r="D34" s="13">
        <v>82303</v>
      </c>
      <c r="E34" s="13">
        <v>78785</v>
      </c>
      <c r="F34" s="13">
        <v>80089</v>
      </c>
      <c r="G34" s="13">
        <v>80040</v>
      </c>
      <c r="H34" s="13">
        <v>77954</v>
      </c>
      <c r="I34" s="13">
        <v>72729</v>
      </c>
      <c r="J34" s="13">
        <v>71674</v>
      </c>
      <c r="K34" s="13">
        <v>75681</v>
      </c>
      <c r="L34" s="13">
        <v>73335</v>
      </c>
      <c r="M34" s="79">
        <v>62023</v>
      </c>
    </row>
    <row r="35" spans="1:18" ht="20.25" customHeight="1" x14ac:dyDescent="0.25">
      <c r="A35" s="15"/>
      <c r="B35" s="4" t="s">
        <v>63</v>
      </c>
      <c r="C35" s="58"/>
      <c r="D35" s="4">
        <f t="shared" ref="D35:L35" si="3">SUM(D32:D34)</f>
        <v>122688</v>
      </c>
      <c r="E35" s="4">
        <f t="shared" si="3"/>
        <v>121246</v>
      </c>
      <c r="F35" s="4">
        <f t="shared" si="3"/>
        <v>124760</v>
      </c>
      <c r="G35" s="4">
        <f t="shared" si="3"/>
        <v>124111</v>
      </c>
      <c r="H35" s="4">
        <f t="shared" si="3"/>
        <v>121596</v>
      </c>
      <c r="I35" s="4">
        <f t="shared" si="3"/>
        <v>114062</v>
      </c>
      <c r="J35" s="4">
        <f t="shared" si="3"/>
        <v>109559</v>
      </c>
      <c r="K35" s="4">
        <f t="shared" si="3"/>
        <v>113110</v>
      </c>
      <c r="L35" s="4">
        <f t="shared" si="3"/>
        <v>111320</v>
      </c>
      <c r="M35" s="81">
        <f t="shared" ref="M35" si="4">SUM(M32:M34)</f>
        <v>100619</v>
      </c>
    </row>
    <row r="36" spans="1:18" ht="20.25" customHeight="1" thickBot="1" x14ac:dyDescent="0.3">
      <c r="A36" s="14"/>
      <c r="B36" s="14" t="s">
        <v>48</v>
      </c>
      <c r="C36" s="59"/>
      <c r="D36" s="14">
        <f t="shared" ref="D36:L36" si="5">D30+D35</f>
        <v>191889</v>
      </c>
      <c r="E36" s="14">
        <f t="shared" si="5"/>
        <v>189571</v>
      </c>
      <c r="F36" s="14">
        <f t="shared" si="5"/>
        <v>197673</v>
      </c>
      <c r="G36" s="14">
        <f t="shared" si="5"/>
        <v>197776</v>
      </c>
      <c r="H36" s="14">
        <f t="shared" si="5"/>
        <v>195056</v>
      </c>
      <c r="I36" s="14">
        <f t="shared" si="5"/>
        <v>187041</v>
      </c>
      <c r="J36" s="14">
        <f t="shared" si="5"/>
        <v>181897</v>
      </c>
      <c r="K36" s="14">
        <f t="shared" si="5"/>
        <v>184034</v>
      </c>
      <c r="L36" s="14">
        <f t="shared" si="5"/>
        <v>180775</v>
      </c>
      <c r="M36" s="87">
        <f t="shared" ref="M36" si="6">M30+M35</f>
        <v>169151</v>
      </c>
    </row>
    <row r="37" spans="1:18" s="38" customFormat="1" ht="15.75" customHeight="1" x14ac:dyDescent="0.15">
      <c r="A37" s="16" t="s">
        <v>144</v>
      </c>
      <c r="B37" s="106" t="s">
        <v>171</v>
      </c>
      <c r="C37" s="106"/>
      <c r="D37" s="106"/>
      <c r="E37" s="106"/>
      <c r="F37" s="106"/>
      <c r="G37" s="106"/>
      <c r="H37" s="106"/>
      <c r="I37" s="106"/>
    </row>
    <row r="38" spans="1:18" s="17" customFormat="1" ht="15.75" customHeight="1" x14ac:dyDescent="0.25">
      <c r="A38" s="16" t="s">
        <v>135</v>
      </c>
      <c r="B38" s="38" t="s">
        <v>172</v>
      </c>
      <c r="C38" s="55"/>
    </row>
    <row r="39" spans="1:18" s="17" customFormat="1" ht="15.75" customHeight="1" x14ac:dyDescent="0.25">
      <c r="A39" s="16" t="s">
        <v>148</v>
      </c>
      <c r="B39" s="106" t="s">
        <v>174</v>
      </c>
      <c r="C39" s="106"/>
      <c r="D39" s="106"/>
      <c r="E39" s="106"/>
      <c r="F39" s="106"/>
      <c r="G39" s="106"/>
      <c r="H39" s="106"/>
      <c r="I39" s="106"/>
      <c r="J39" s="106"/>
      <c r="K39" s="106"/>
      <c r="L39" s="106"/>
      <c r="M39" s="106"/>
      <c r="N39" s="106"/>
      <c r="O39" s="106"/>
      <c r="P39" s="106"/>
      <c r="Q39" s="106"/>
      <c r="R39" s="106"/>
    </row>
    <row r="40" spans="1:18" s="17" customFormat="1" ht="15.75" customHeight="1" x14ac:dyDescent="0.25">
      <c r="A40" s="16" t="s">
        <v>155</v>
      </c>
      <c r="B40" s="106" t="s">
        <v>185</v>
      </c>
      <c r="C40" s="106"/>
      <c r="D40" s="106"/>
      <c r="E40" s="106"/>
      <c r="F40" s="106"/>
      <c r="G40" s="106"/>
      <c r="H40" s="106"/>
      <c r="I40" s="106"/>
      <c r="J40" s="106"/>
      <c r="K40" s="106"/>
      <c r="L40" s="106"/>
      <c r="M40" s="106"/>
      <c r="N40" s="106"/>
      <c r="O40" s="106"/>
      <c r="P40" s="106"/>
      <c r="Q40" s="106"/>
      <c r="R40" s="106"/>
    </row>
    <row r="43" spans="1:18" s="38" customFormat="1" ht="15.75" customHeight="1" x14ac:dyDescent="0.15">
      <c r="A43" s="16"/>
      <c r="B43" s="106"/>
      <c r="C43" s="106"/>
      <c r="D43" s="106"/>
      <c r="E43" s="106"/>
      <c r="F43" s="106"/>
      <c r="G43" s="106"/>
      <c r="H43" s="106"/>
      <c r="I43" s="106"/>
    </row>
    <row r="44" spans="1:18" s="17" customFormat="1" ht="15.75" customHeight="1" x14ac:dyDescent="0.25">
      <c r="A44" s="16"/>
      <c r="B44" s="38"/>
      <c r="C44" s="55"/>
    </row>
    <row r="45" spans="1:18" s="17" customFormat="1" ht="15.75" customHeight="1" x14ac:dyDescent="0.25">
      <c r="A45" s="16"/>
      <c r="B45" s="106"/>
      <c r="C45" s="106"/>
      <c r="D45" s="106"/>
      <c r="E45" s="106"/>
      <c r="F45" s="106"/>
      <c r="G45" s="106"/>
      <c r="H45" s="106"/>
      <c r="I45" s="106"/>
      <c r="J45" s="106"/>
      <c r="K45" s="106"/>
      <c r="L45" s="106"/>
      <c r="M45" s="106"/>
      <c r="N45" s="106"/>
      <c r="O45" s="106"/>
      <c r="P45" s="106"/>
      <c r="Q45" s="106"/>
      <c r="R45" s="106"/>
    </row>
    <row r="46" spans="1:18" s="17" customFormat="1" ht="15.75" customHeight="1" x14ac:dyDescent="0.25">
      <c r="A46" s="16"/>
      <c r="B46" s="106"/>
      <c r="C46" s="106"/>
      <c r="D46" s="106"/>
      <c r="E46" s="106"/>
      <c r="F46" s="106"/>
      <c r="G46" s="106"/>
      <c r="H46" s="106"/>
      <c r="I46" s="106"/>
      <c r="J46" s="106"/>
      <c r="K46" s="106"/>
      <c r="L46" s="106"/>
      <c r="M46" s="106"/>
      <c r="N46" s="106"/>
      <c r="O46" s="106"/>
      <c r="P46" s="106"/>
      <c r="Q46" s="106"/>
      <c r="R46" s="106"/>
    </row>
  </sheetData>
  <mergeCells count="6">
    <mergeCell ref="B46:R46"/>
    <mergeCell ref="B37:I37"/>
    <mergeCell ref="B39:R39"/>
    <mergeCell ref="B40:R40"/>
    <mergeCell ref="B43:I43"/>
    <mergeCell ref="B45:R45"/>
  </mergeCells>
  <phoneticPr fontId="2"/>
  <printOptions horizontalCentered="1"/>
  <pageMargins left="0.43307086614173229" right="0.35433070866141736" top="0.39370078740157483" bottom="0.19685039370078741" header="0.31496062992125984" footer="0.19685039370078741"/>
  <pageSetup paperSize="9" scale="61" orientation="landscape" blackAndWhite="1" r:id="rId1"/>
  <headerFooter differentFirst="1" scaleWithDoc="0"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0</vt:lpstr>
      <vt:lpstr>1 </vt:lpstr>
      <vt:lpstr>2</vt:lpstr>
      <vt:lpstr>3 </vt:lpstr>
      <vt:lpstr>4</vt:lpstr>
      <vt:lpstr>5</vt:lpstr>
      <vt:lpstr>6</vt:lpstr>
      <vt:lpstr>7</vt:lpstr>
      <vt:lpstr>'0'!Print_Area</vt:lpstr>
      <vt:lpstr>'1 '!Print_Area</vt:lpstr>
      <vt:lpstr>'2'!Print_Area</vt:lpstr>
      <vt:lpstr>'3 '!Print_Area</vt:lpstr>
      <vt:lpstr>'4'!Print_Area</vt:lpstr>
      <vt:lpstr>'5'!Print_Area</vt:lpstr>
      <vt:lpstr>'6'!Print_Area</vt:lpstr>
      <vt:lpstr>'7'!Print_Area</vt:lpstr>
      <vt:lpstr>'7'!Print_Titles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106924</dc:creator>
  <cp:lastModifiedBy>kubo.takuya730</cp:lastModifiedBy>
  <cp:lastPrinted>2024-03-26T09:29:02Z</cp:lastPrinted>
  <dcterms:created xsi:type="dcterms:W3CDTF">1998-11-10T10:40:36Z</dcterms:created>
  <dcterms:modified xsi:type="dcterms:W3CDTF">2024-03-26T09:29:08Z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